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bvinstitute-my.sharepoint.com/personal/kevin_floether_cbvinstitute_com/Documents/Documents/"/>
    </mc:Choice>
  </mc:AlternateContent>
  <xr:revisionPtr revIDLastSave="0" documentId="8_{A85248D6-F5D1-46C8-AF7C-2B1A7270479A}" xr6:coauthVersionLast="47" xr6:coauthVersionMax="47" xr10:uidLastSave="{00000000-0000-0000-0000-000000000000}"/>
  <bookViews>
    <workbookView xWindow="-96" yWindow="-96" windowWidth="23232" windowHeight="12552" tabRatio="582" xr2:uid="{00000000-000D-0000-FFFF-FFFF00000000}"/>
  </bookViews>
  <sheets>
    <sheet name="Cover" sheetId="51" r:id="rId1"/>
    <sheet name="1. Summary" sheetId="46" r:id="rId2"/>
    <sheet name="2. Financial Stmts" sheetId="49" r:id="rId3"/>
    <sheet name="3. Inputs" sheetId="48" r:id="rId4"/>
    <sheet name="4. Calculations" sheetId="47" r:id="rId5"/>
    <sheet name="xx. User Guide" sheetId="50" r:id="rId6"/>
  </sheets>
  <definedNames>
    <definedName name="discount_rate">'3. Inputs'!$F$22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"06/22/2022 16:04:58"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model_date">'3. Inputs'!$F$10</definedName>
    <definedName name="share_price">'3. Inputs'!$F$24</definedName>
    <definedName name="terminal_growth_rate">'3. Inputs'!$F$23</definedName>
    <definedName name="timelines">'3. Inputs'!$G$11:$L$12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50" l="1"/>
  <c r="I113" i="47"/>
  <c r="J113" i="47"/>
  <c r="K113" i="47"/>
  <c r="L113" i="47"/>
  <c r="H113" i="47"/>
  <c r="I108" i="47"/>
  <c r="J108" i="47"/>
  <c r="K108" i="47"/>
  <c r="L108" i="47"/>
  <c r="H108" i="47"/>
  <c r="I89" i="47"/>
  <c r="J89" i="47"/>
  <c r="K89" i="47"/>
  <c r="L89" i="47"/>
  <c r="H89" i="47"/>
  <c r="I84" i="47"/>
  <c r="J84" i="47"/>
  <c r="K84" i="47"/>
  <c r="L84" i="47"/>
  <c r="H84" i="47"/>
  <c r="G55" i="48"/>
  <c r="G54" i="48"/>
  <c r="G53" i="48"/>
  <c r="G52" i="48"/>
  <c r="I51" i="48"/>
  <c r="J51" i="48"/>
  <c r="K51" i="48"/>
  <c r="L51" i="48"/>
  <c r="H51" i="48"/>
  <c r="I17" i="47"/>
  <c r="J17" i="47"/>
  <c r="K17" i="47"/>
  <c r="L17" i="47"/>
  <c r="H17" i="47"/>
  <c r="H117" i="47"/>
  <c r="H116" i="47"/>
  <c r="G38" i="48"/>
  <c r="G37" i="48"/>
  <c r="H37" i="48"/>
  <c r="G117" i="48"/>
  <c r="G123" i="48"/>
  <c r="G126" i="48"/>
  <c r="I75" i="48"/>
  <c r="J75" i="48"/>
  <c r="F10" i="46"/>
  <c r="F9" i="46"/>
  <c r="G49" i="49"/>
  <c r="I58" i="48"/>
  <c r="J58" i="48"/>
  <c r="G44" i="48"/>
  <c r="H44" i="48"/>
  <c r="G18" i="49"/>
  <c r="G17" i="49"/>
  <c r="G12" i="49"/>
  <c r="H24" i="47"/>
  <c r="G11" i="49"/>
  <c r="H12" i="47"/>
  <c r="G25" i="49"/>
  <c r="G24" i="49"/>
  <c r="G33" i="49"/>
  <c r="G51" i="49"/>
  <c r="G30" i="49"/>
  <c r="G52" i="49"/>
  <c r="G31" i="49"/>
  <c r="G50" i="49"/>
  <c r="G29" i="49"/>
  <c r="G90" i="48"/>
  <c r="G96" i="48"/>
  <c r="I96" i="47"/>
  <c r="J96" i="47"/>
  <c r="K96" i="47"/>
  <c r="L96" i="47"/>
  <c r="H96" i="47"/>
  <c r="H4" i="48"/>
  <c r="H4" i="46"/>
  <c r="I4" i="48"/>
  <c r="I4" i="46"/>
  <c r="J4" i="48"/>
  <c r="J4" i="46"/>
  <c r="K4" i="48"/>
  <c r="K4" i="47"/>
  <c r="L4" i="48"/>
  <c r="L4" i="46"/>
  <c r="H5" i="48"/>
  <c r="H5" i="46"/>
  <c r="I5" i="48"/>
  <c r="I5" i="46"/>
  <c r="J5" i="48"/>
  <c r="J5" i="49"/>
  <c r="K5" i="48"/>
  <c r="K5" i="49"/>
  <c r="L5" i="48"/>
  <c r="L5" i="49"/>
  <c r="G5" i="48"/>
  <c r="G5" i="49"/>
  <c r="G4" i="48"/>
  <c r="G4" i="47"/>
  <c r="F16" i="48"/>
  <c r="J16" i="48"/>
  <c r="J19" i="46"/>
  <c r="J20" i="46"/>
  <c r="I17" i="48"/>
  <c r="J17" i="48"/>
  <c r="K17" i="48"/>
  <c r="G85" i="48"/>
  <c r="I125" i="47"/>
  <c r="J125" i="47"/>
  <c r="K125" i="47"/>
  <c r="L125" i="47"/>
  <c r="H125" i="47"/>
  <c r="H132" i="47"/>
  <c r="H100" i="49"/>
  <c r="I131" i="47"/>
  <c r="I99" i="49"/>
  <c r="J131" i="47"/>
  <c r="J99" i="49"/>
  <c r="K131" i="47"/>
  <c r="K99" i="49"/>
  <c r="L131" i="47"/>
  <c r="L99" i="49"/>
  <c r="H131" i="47"/>
  <c r="H99" i="49"/>
  <c r="G45" i="49"/>
  <c r="G44" i="49"/>
  <c r="G30" i="46"/>
  <c r="H75" i="47"/>
  <c r="H71" i="47"/>
  <c r="H76" i="47"/>
  <c r="H70" i="47"/>
  <c r="B4" i="47"/>
  <c r="B4" i="49"/>
  <c r="B4" i="48"/>
  <c r="B4" i="46"/>
  <c r="G32" i="46"/>
  <c r="H25" i="47"/>
  <c r="I25" i="47"/>
  <c r="J25" i="47"/>
  <c r="K25" i="47"/>
  <c r="L25" i="47"/>
  <c r="H51" i="47"/>
  <c r="I51" i="47"/>
  <c r="J51" i="47"/>
  <c r="K51" i="47"/>
  <c r="L51" i="47"/>
  <c r="H74" i="47"/>
  <c r="I74" i="47"/>
  <c r="J74" i="47"/>
  <c r="K74" i="47"/>
  <c r="L74" i="47"/>
  <c r="H93" i="47"/>
  <c r="H94" i="49"/>
  <c r="H100" i="47"/>
  <c r="H101" i="47"/>
  <c r="I101" i="47"/>
  <c r="I93" i="49"/>
  <c r="J101" i="47"/>
  <c r="J93" i="49"/>
  <c r="J15" i="46"/>
  <c r="K101" i="47"/>
  <c r="K93" i="49"/>
  <c r="K15" i="46"/>
  <c r="L101" i="47"/>
  <c r="L93" i="49"/>
  <c r="H122" i="47"/>
  <c r="H98" i="49"/>
  <c r="I122" i="47"/>
  <c r="I98" i="49"/>
  <c r="J122" i="47"/>
  <c r="J98" i="49"/>
  <c r="K122" i="47"/>
  <c r="K98" i="49"/>
  <c r="L122" i="47"/>
  <c r="L98" i="49"/>
  <c r="H138" i="47"/>
  <c r="I138" i="47"/>
  <c r="J138" i="47"/>
  <c r="K138" i="47"/>
  <c r="L138" i="47"/>
  <c r="H92" i="47"/>
  <c r="G71" i="49"/>
  <c r="G28" i="46"/>
  <c r="G74" i="49"/>
  <c r="G60" i="49"/>
  <c r="G106" i="49"/>
  <c r="G61" i="49"/>
  <c r="G62" i="49"/>
  <c r="G64" i="49"/>
  <c r="G69" i="49"/>
  <c r="G70" i="49"/>
  <c r="G65" i="49"/>
  <c r="G63" i="49"/>
  <c r="G27" i="46"/>
  <c r="H121" i="47"/>
  <c r="H129" i="47"/>
  <c r="H118" i="47"/>
  <c r="I116" i="47"/>
  <c r="G4" i="49"/>
  <c r="L4" i="49"/>
  <c r="H33" i="47"/>
  <c r="I37" i="48"/>
  <c r="G41" i="48"/>
  <c r="I71" i="47"/>
  <c r="I76" i="47"/>
  <c r="H53" i="48"/>
  <c r="H88" i="47"/>
  <c r="G91" i="48"/>
  <c r="G98" i="48"/>
  <c r="G26" i="46"/>
  <c r="G72" i="49"/>
  <c r="G75" i="49"/>
  <c r="H5" i="47"/>
  <c r="H21" i="47"/>
  <c r="H18" i="47"/>
  <c r="H19" i="47"/>
  <c r="H13" i="47"/>
  <c r="H14" i="47"/>
  <c r="H4" i="47"/>
  <c r="H123" i="47"/>
  <c r="I121" i="47"/>
  <c r="I123" i="47"/>
  <c r="L5" i="47"/>
  <c r="L21" i="47"/>
  <c r="L18" i="47"/>
  <c r="L19" i="47"/>
  <c r="L13" i="47"/>
  <c r="H26" i="47"/>
  <c r="H36" i="47"/>
  <c r="I16" i="48"/>
  <c r="I19" i="46"/>
  <c r="I20" i="46"/>
  <c r="G26" i="49"/>
  <c r="I132" i="47"/>
  <c r="I100" i="49"/>
  <c r="H4" i="49"/>
  <c r="I4" i="47"/>
  <c r="H77" i="47"/>
  <c r="I75" i="47"/>
  <c r="J4" i="49"/>
  <c r="I4" i="49"/>
  <c r="K4" i="46"/>
  <c r="H50" i="47"/>
  <c r="H52" i="47"/>
  <c r="I50" i="47"/>
  <c r="I52" i="47"/>
  <c r="G5" i="47"/>
  <c r="H5" i="49"/>
  <c r="J4" i="47"/>
  <c r="I5" i="49"/>
  <c r="L4" i="47"/>
  <c r="J5" i="47"/>
  <c r="J21" i="47"/>
  <c r="J18" i="47"/>
  <c r="J19" i="47"/>
  <c r="J13" i="47"/>
  <c r="H16" i="48"/>
  <c r="H19" i="46"/>
  <c r="H20" i="46"/>
  <c r="H72" i="47"/>
  <c r="H44" i="49"/>
  <c r="I5" i="47"/>
  <c r="I21" i="47"/>
  <c r="I18" i="47"/>
  <c r="I19" i="47"/>
  <c r="I13" i="47"/>
  <c r="H102" i="47"/>
  <c r="H83" i="49"/>
  <c r="H93" i="49"/>
  <c r="H15" i="46"/>
  <c r="H71" i="49"/>
  <c r="L15" i="46"/>
  <c r="K58" i="48"/>
  <c r="J93" i="47"/>
  <c r="J94" i="49"/>
  <c r="J95" i="49"/>
  <c r="I44" i="48"/>
  <c r="H57" i="47"/>
  <c r="H29" i="49"/>
  <c r="I15" i="46"/>
  <c r="J71" i="47"/>
  <c r="J76" i="47"/>
  <c r="K75" i="48"/>
  <c r="J132" i="47"/>
  <c r="J100" i="49"/>
  <c r="K5" i="46"/>
  <c r="H94" i="47"/>
  <c r="H97" i="47"/>
  <c r="K5" i="47"/>
  <c r="K21" i="47"/>
  <c r="K18" i="47"/>
  <c r="K19" i="47"/>
  <c r="K13" i="47"/>
  <c r="L5" i="46"/>
  <c r="J5" i="46"/>
  <c r="K4" i="49"/>
  <c r="I93" i="47"/>
  <c r="I94" i="49"/>
  <c r="I95" i="49"/>
  <c r="L17" i="48"/>
  <c r="L16" i="48"/>
  <c r="L19" i="46"/>
  <c r="K16" i="48"/>
  <c r="K19" i="46"/>
  <c r="K20" i="46"/>
  <c r="H105" i="49"/>
  <c r="G108" i="49"/>
  <c r="H37" i="47"/>
  <c r="G66" i="49"/>
  <c r="G19" i="49"/>
  <c r="G13" i="49"/>
  <c r="I77" i="47"/>
  <c r="J75" i="47"/>
  <c r="J77" i="47"/>
  <c r="H25" i="49"/>
  <c r="G102" i="48"/>
  <c r="G104" i="48"/>
  <c r="H126" i="47"/>
  <c r="H31" i="49"/>
  <c r="H103" i="47"/>
  <c r="H64" i="49"/>
  <c r="H49" i="49"/>
  <c r="J37" i="48"/>
  <c r="I33" i="47"/>
  <c r="I53" i="48"/>
  <c r="J53" i="48"/>
  <c r="H45" i="49"/>
  <c r="H28" i="47"/>
  <c r="H82" i="47"/>
  <c r="G77" i="49"/>
  <c r="I24" i="47"/>
  <c r="I26" i="47"/>
  <c r="I12" i="49"/>
  <c r="H32" i="47"/>
  <c r="H34" i="47"/>
  <c r="H87" i="47"/>
  <c r="H62" i="49"/>
  <c r="H12" i="49"/>
  <c r="I12" i="47"/>
  <c r="I14" i="47"/>
  <c r="I11" i="49"/>
  <c r="H95" i="49"/>
  <c r="H137" i="47"/>
  <c r="H133" i="47"/>
  <c r="H101" i="49"/>
  <c r="H102" i="49"/>
  <c r="I70" i="47"/>
  <c r="I72" i="47"/>
  <c r="J70" i="47"/>
  <c r="J72" i="47"/>
  <c r="I126" i="47"/>
  <c r="H11" i="49"/>
  <c r="J44" i="48"/>
  <c r="I57" i="47"/>
  <c r="I29" i="49"/>
  <c r="K71" i="47"/>
  <c r="K76" i="47"/>
  <c r="K132" i="47"/>
  <c r="K100" i="49"/>
  <c r="L75" i="48"/>
  <c r="L58" i="48"/>
  <c r="L93" i="47"/>
  <c r="L94" i="49"/>
  <c r="L95" i="49"/>
  <c r="K93" i="47"/>
  <c r="K94" i="49"/>
  <c r="K95" i="49"/>
  <c r="H63" i="49"/>
  <c r="I92" i="47"/>
  <c r="H30" i="49"/>
  <c r="H52" i="49"/>
  <c r="H58" i="47"/>
  <c r="H38" i="47"/>
  <c r="H18" i="49"/>
  <c r="I71" i="49"/>
  <c r="J121" i="47"/>
  <c r="M19" i="46"/>
  <c r="M20" i="46"/>
  <c r="L20" i="46"/>
  <c r="H38" i="48"/>
  <c r="I38" i="48"/>
  <c r="H54" i="48"/>
  <c r="H41" i="48"/>
  <c r="H52" i="48"/>
  <c r="G20" i="49"/>
  <c r="I25" i="49"/>
  <c r="J50" i="47"/>
  <c r="J52" i="47"/>
  <c r="H55" i="48"/>
  <c r="I45" i="49"/>
  <c r="I44" i="49"/>
  <c r="J24" i="47"/>
  <c r="J26" i="47"/>
  <c r="K24" i="47"/>
  <c r="K26" i="47"/>
  <c r="K12" i="49"/>
  <c r="I13" i="49"/>
  <c r="H59" i="47"/>
  <c r="I100" i="47"/>
  <c r="I102" i="47"/>
  <c r="I103" i="47"/>
  <c r="H106" i="47"/>
  <c r="J33" i="47"/>
  <c r="K37" i="48"/>
  <c r="G46" i="48"/>
  <c r="H46" i="48"/>
  <c r="I46" i="48"/>
  <c r="J46" i="48"/>
  <c r="K46" i="48"/>
  <c r="L46" i="48"/>
  <c r="H45" i="47"/>
  <c r="H17" i="49"/>
  <c r="H19" i="49"/>
  <c r="J12" i="47"/>
  <c r="J14" i="47"/>
  <c r="K12" i="47"/>
  <c r="K14" i="47"/>
  <c r="I59" i="47"/>
  <c r="I31" i="49"/>
  <c r="H50" i="49"/>
  <c r="I88" i="47"/>
  <c r="I137" i="47"/>
  <c r="I133" i="47"/>
  <c r="I101" i="49"/>
  <c r="I102" i="49"/>
  <c r="H13" i="49"/>
  <c r="H14" i="49"/>
  <c r="I28" i="47"/>
  <c r="I106" i="47"/>
  <c r="I36" i="47"/>
  <c r="I32" i="47"/>
  <c r="I34" i="47"/>
  <c r="I87" i="47"/>
  <c r="I94" i="47"/>
  <c r="I97" i="47"/>
  <c r="J123" i="47"/>
  <c r="J126" i="47"/>
  <c r="I37" i="47"/>
  <c r="L71" i="47"/>
  <c r="L76" i="47"/>
  <c r="L132" i="47"/>
  <c r="L100" i="49"/>
  <c r="J45" i="49"/>
  <c r="K75" i="47"/>
  <c r="K77" i="47"/>
  <c r="H40" i="47"/>
  <c r="H41" i="47"/>
  <c r="K70" i="47"/>
  <c r="K72" i="47"/>
  <c r="J44" i="49"/>
  <c r="J137" i="47"/>
  <c r="J133" i="47"/>
  <c r="J101" i="49"/>
  <c r="J102" i="49"/>
  <c r="J57" i="47"/>
  <c r="J29" i="49"/>
  <c r="K44" i="48"/>
  <c r="H86" i="49"/>
  <c r="J38" i="48"/>
  <c r="J37" i="47"/>
  <c r="H46" i="47"/>
  <c r="I41" i="48"/>
  <c r="H83" i="47"/>
  <c r="H61" i="49"/>
  <c r="I52" i="48"/>
  <c r="H107" i="47"/>
  <c r="I54" i="48"/>
  <c r="G21" i="49"/>
  <c r="G28" i="49"/>
  <c r="J88" i="47"/>
  <c r="K53" i="48"/>
  <c r="I56" i="48"/>
  <c r="I117" i="47"/>
  <c r="I118" i="47"/>
  <c r="K50" i="47"/>
  <c r="K52" i="47"/>
  <c r="J25" i="49"/>
  <c r="I55" i="48"/>
  <c r="H112" i="47"/>
  <c r="J36" i="47"/>
  <c r="J38" i="47"/>
  <c r="J18" i="49"/>
  <c r="K36" i="47"/>
  <c r="L24" i="47"/>
  <c r="L26" i="47"/>
  <c r="L12" i="49"/>
  <c r="J12" i="49"/>
  <c r="I38" i="47"/>
  <c r="I18" i="49"/>
  <c r="H20" i="49"/>
  <c r="H21" i="49"/>
  <c r="G32" i="49"/>
  <c r="G34" i="49"/>
  <c r="H65" i="49"/>
  <c r="H87" i="49"/>
  <c r="K33" i="47"/>
  <c r="L37" i="48"/>
  <c r="L33" i="47"/>
  <c r="H47" i="47"/>
  <c r="H54" i="47"/>
  <c r="H55" i="47"/>
  <c r="H60" i="47"/>
  <c r="I14" i="49"/>
  <c r="J32" i="47"/>
  <c r="J34" i="47"/>
  <c r="J87" i="47"/>
  <c r="J62" i="49"/>
  <c r="J11" i="49"/>
  <c r="I82" i="47"/>
  <c r="J28" i="47"/>
  <c r="J106" i="47"/>
  <c r="I45" i="47"/>
  <c r="J59" i="47"/>
  <c r="J31" i="49"/>
  <c r="I50" i="49"/>
  <c r="I62" i="49"/>
  <c r="I86" i="49"/>
  <c r="I17" i="49"/>
  <c r="I58" i="47"/>
  <c r="I30" i="49"/>
  <c r="I52" i="49"/>
  <c r="J100" i="47"/>
  <c r="I64" i="49"/>
  <c r="K45" i="49"/>
  <c r="L75" i="47"/>
  <c r="L77" i="47"/>
  <c r="L45" i="49"/>
  <c r="L44" i="48"/>
  <c r="L57" i="47"/>
  <c r="L29" i="49"/>
  <c r="K57" i="47"/>
  <c r="K29" i="49"/>
  <c r="K137" i="47"/>
  <c r="K133" i="47"/>
  <c r="K101" i="49"/>
  <c r="K102" i="49"/>
  <c r="K44" i="49"/>
  <c r="L70" i="47"/>
  <c r="L72" i="47"/>
  <c r="J71" i="49"/>
  <c r="K121" i="47"/>
  <c r="I49" i="49"/>
  <c r="I83" i="49"/>
  <c r="J92" i="47"/>
  <c r="I63" i="49"/>
  <c r="H85" i="49"/>
  <c r="K38" i="48"/>
  <c r="K37" i="47"/>
  <c r="K88" i="47"/>
  <c r="L53" i="48"/>
  <c r="L88" i="47"/>
  <c r="I107" i="47"/>
  <c r="I65" i="49"/>
  <c r="J54" i="48"/>
  <c r="L12" i="47"/>
  <c r="L14" i="47"/>
  <c r="K11" i="49"/>
  <c r="K13" i="49"/>
  <c r="K28" i="47"/>
  <c r="K32" i="47"/>
  <c r="I46" i="47"/>
  <c r="J41" i="48"/>
  <c r="J55" i="48"/>
  <c r="I112" i="47"/>
  <c r="J52" i="48"/>
  <c r="I83" i="47"/>
  <c r="L50" i="47"/>
  <c r="L52" i="47"/>
  <c r="L25" i="49"/>
  <c r="K25" i="49"/>
  <c r="J56" i="48"/>
  <c r="J117" i="47"/>
  <c r="I19" i="49"/>
  <c r="I20" i="49"/>
  <c r="I21" i="49"/>
  <c r="J13" i="49"/>
  <c r="J14" i="49"/>
  <c r="L36" i="47"/>
  <c r="K38" i="47"/>
  <c r="K18" i="49"/>
  <c r="I40" i="47"/>
  <c r="I41" i="47"/>
  <c r="I47" i="47"/>
  <c r="K34" i="47"/>
  <c r="K17" i="49"/>
  <c r="G35" i="49"/>
  <c r="G40" i="49"/>
  <c r="G48" i="49"/>
  <c r="G53" i="49"/>
  <c r="G55" i="49"/>
  <c r="G41" i="49"/>
  <c r="H111" i="47"/>
  <c r="H70" i="49"/>
  <c r="H89" i="49"/>
  <c r="J17" i="49"/>
  <c r="J19" i="49"/>
  <c r="J40" i="47"/>
  <c r="J41" i="47"/>
  <c r="H24" i="49"/>
  <c r="H26" i="49"/>
  <c r="H28" i="49"/>
  <c r="H32" i="49"/>
  <c r="J45" i="47"/>
  <c r="J82" i="47"/>
  <c r="I61" i="49"/>
  <c r="I85" i="49"/>
  <c r="J50" i="49"/>
  <c r="K123" i="47"/>
  <c r="K126" i="47"/>
  <c r="J94" i="47"/>
  <c r="J97" i="47"/>
  <c r="L44" i="49"/>
  <c r="L137" i="47"/>
  <c r="L133" i="47"/>
  <c r="L101" i="49"/>
  <c r="L102" i="49"/>
  <c r="J102" i="47"/>
  <c r="I87" i="49"/>
  <c r="K56" i="48"/>
  <c r="K117" i="47"/>
  <c r="K55" i="48"/>
  <c r="J112" i="47"/>
  <c r="J86" i="49"/>
  <c r="K45" i="47"/>
  <c r="K82" i="47"/>
  <c r="K106" i="47"/>
  <c r="L37" i="47"/>
  <c r="L38" i="48"/>
  <c r="J83" i="47"/>
  <c r="K52" i="48"/>
  <c r="J107" i="47"/>
  <c r="J65" i="49"/>
  <c r="K54" i="48"/>
  <c r="J46" i="47"/>
  <c r="K41" i="48"/>
  <c r="L11" i="49"/>
  <c r="L13" i="49"/>
  <c r="L28" i="47"/>
  <c r="L32" i="47"/>
  <c r="L34" i="47"/>
  <c r="H61" i="47"/>
  <c r="H33" i="49"/>
  <c r="J20" i="49"/>
  <c r="J21" i="49"/>
  <c r="K14" i="49"/>
  <c r="L38" i="47"/>
  <c r="L18" i="49"/>
  <c r="K19" i="49"/>
  <c r="K20" i="49"/>
  <c r="K21" i="49"/>
  <c r="I111" i="47"/>
  <c r="I69" i="49"/>
  <c r="K40" i="47"/>
  <c r="K41" i="47"/>
  <c r="K87" i="47"/>
  <c r="K62" i="49"/>
  <c r="K86" i="49"/>
  <c r="I54" i="47"/>
  <c r="I55" i="47"/>
  <c r="I60" i="47"/>
  <c r="I61" i="47"/>
  <c r="I33" i="49"/>
  <c r="I24" i="49"/>
  <c r="I26" i="49"/>
  <c r="I28" i="49"/>
  <c r="I32" i="49"/>
  <c r="H69" i="49"/>
  <c r="H88" i="49"/>
  <c r="H14" i="46"/>
  <c r="J47" i="47"/>
  <c r="J111" i="47"/>
  <c r="J69" i="49"/>
  <c r="J61" i="49"/>
  <c r="J85" i="49"/>
  <c r="K59" i="47"/>
  <c r="K31" i="49"/>
  <c r="J30" i="49"/>
  <c r="J58" i="47"/>
  <c r="J83" i="49"/>
  <c r="J49" i="49"/>
  <c r="K71" i="49"/>
  <c r="L121" i="47"/>
  <c r="J103" i="47"/>
  <c r="J63" i="49"/>
  <c r="K92" i="47"/>
  <c r="H34" i="49"/>
  <c r="K83" i="47"/>
  <c r="K61" i="49"/>
  <c r="L52" i="48"/>
  <c r="L83" i="47"/>
  <c r="L87" i="47"/>
  <c r="L62" i="49"/>
  <c r="L17" i="49"/>
  <c r="H51" i="49"/>
  <c r="L82" i="47"/>
  <c r="L45" i="47"/>
  <c r="L106" i="47"/>
  <c r="K46" i="47"/>
  <c r="K47" i="47"/>
  <c r="L41" i="48"/>
  <c r="L46" i="47"/>
  <c r="H62" i="47"/>
  <c r="L14" i="49"/>
  <c r="L54" i="48"/>
  <c r="L107" i="47"/>
  <c r="K107" i="47"/>
  <c r="K65" i="49"/>
  <c r="L55" i="48"/>
  <c r="L112" i="47"/>
  <c r="K112" i="47"/>
  <c r="L56" i="48"/>
  <c r="L117" i="47"/>
  <c r="J87" i="49"/>
  <c r="L40" i="47"/>
  <c r="L41" i="47"/>
  <c r="L19" i="49"/>
  <c r="L20" i="49"/>
  <c r="L21" i="49"/>
  <c r="L86" i="49"/>
  <c r="H72" i="49"/>
  <c r="I70" i="49"/>
  <c r="I89" i="49"/>
  <c r="J116" i="47"/>
  <c r="J118" i="47"/>
  <c r="J24" i="49"/>
  <c r="J26" i="49"/>
  <c r="J28" i="49"/>
  <c r="J32" i="49"/>
  <c r="J54" i="47"/>
  <c r="J55" i="47"/>
  <c r="J60" i="47"/>
  <c r="J61" i="47"/>
  <c r="J33" i="49"/>
  <c r="J52" i="49"/>
  <c r="K50" i="49"/>
  <c r="H37" i="49"/>
  <c r="I34" i="49"/>
  <c r="I48" i="49"/>
  <c r="K94" i="47"/>
  <c r="K97" i="47"/>
  <c r="H40" i="49"/>
  <c r="K100" i="47"/>
  <c r="J64" i="49"/>
  <c r="H41" i="49"/>
  <c r="L123" i="47"/>
  <c r="L71" i="49"/>
  <c r="H82" i="49"/>
  <c r="H90" i="49"/>
  <c r="H104" i="49"/>
  <c r="H106" i="49"/>
  <c r="H60" i="49"/>
  <c r="H66" i="49"/>
  <c r="H48" i="49"/>
  <c r="H53" i="49"/>
  <c r="H13" i="46"/>
  <c r="H35" i="49"/>
  <c r="H130" i="47"/>
  <c r="H134" i="47"/>
  <c r="H74" i="49"/>
  <c r="I62" i="47"/>
  <c r="I65" i="47"/>
  <c r="K54" i="47"/>
  <c r="K55" i="47"/>
  <c r="K24" i="49"/>
  <c r="K26" i="49"/>
  <c r="K111" i="47"/>
  <c r="K87" i="49"/>
  <c r="H66" i="47"/>
  <c r="H65" i="47"/>
  <c r="J88" i="49"/>
  <c r="L65" i="49"/>
  <c r="L87" i="49"/>
  <c r="K85" i="49"/>
  <c r="L47" i="47"/>
  <c r="L61" i="49"/>
  <c r="L85" i="49"/>
  <c r="I88" i="49"/>
  <c r="I51" i="49"/>
  <c r="H75" i="49"/>
  <c r="H77" i="49"/>
  <c r="I72" i="49"/>
  <c r="I14" i="46"/>
  <c r="J70" i="49"/>
  <c r="J72" i="49"/>
  <c r="K116" i="47"/>
  <c r="K118" i="47"/>
  <c r="L126" i="47"/>
  <c r="L59" i="47"/>
  <c r="I130" i="47"/>
  <c r="I82" i="49"/>
  <c r="I90" i="49"/>
  <c r="I104" i="49"/>
  <c r="I35" i="49"/>
  <c r="I41" i="49"/>
  <c r="I40" i="49"/>
  <c r="J34" i="49"/>
  <c r="J82" i="49"/>
  <c r="I129" i="47"/>
  <c r="I105" i="49"/>
  <c r="H54" i="49"/>
  <c r="K102" i="47"/>
  <c r="H55" i="49"/>
  <c r="H16" i="46"/>
  <c r="H17" i="46"/>
  <c r="H21" i="46"/>
  <c r="K30" i="49"/>
  <c r="K58" i="47"/>
  <c r="I37" i="49"/>
  <c r="L92" i="47"/>
  <c r="K63" i="49"/>
  <c r="H108" i="49"/>
  <c r="K28" i="49"/>
  <c r="J62" i="47"/>
  <c r="J65" i="47"/>
  <c r="I66" i="47"/>
  <c r="I53" i="49"/>
  <c r="K69" i="49"/>
  <c r="L54" i="47"/>
  <c r="L55" i="47"/>
  <c r="L24" i="49"/>
  <c r="L26" i="49"/>
  <c r="L111" i="47"/>
  <c r="J51" i="49"/>
  <c r="J89" i="49"/>
  <c r="J14" i="46"/>
  <c r="K70" i="49"/>
  <c r="K89" i="49"/>
  <c r="L116" i="47"/>
  <c r="L118" i="47"/>
  <c r="L70" i="49"/>
  <c r="L31" i="49"/>
  <c r="L50" i="49"/>
  <c r="K60" i="47"/>
  <c r="K61" i="47"/>
  <c r="K52" i="49"/>
  <c r="K32" i="49"/>
  <c r="I134" i="47"/>
  <c r="I74" i="49"/>
  <c r="I75" i="49"/>
  <c r="I106" i="49"/>
  <c r="I60" i="49"/>
  <c r="I66" i="49"/>
  <c r="J35" i="49"/>
  <c r="J66" i="47"/>
  <c r="J41" i="49"/>
  <c r="J48" i="49"/>
  <c r="J53" i="49"/>
  <c r="J37" i="49"/>
  <c r="J130" i="47"/>
  <c r="J40" i="49"/>
  <c r="I55" i="49"/>
  <c r="I16" i="46"/>
  <c r="K49" i="49"/>
  <c r="K83" i="49"/>
  <c r="L94" i="47"/>
  <c r="L63" i="49"/>
  <c r="L97" i="47"/>
  <c r="K103" i="47"/>
  <c r="I54" i="49"/>
  <c r="I13" i="46"/>
  <c r="L28" i="49"/>
  <c r="L69" i="49"/>
  <c r="K88" i="49"/>
  <c r="J90" i="49"/>
  <c r="J104" i="49"/>
  <c r="K72" i="49"/>
  <c r="L89" i="49"/>
  <c r="K14" i="46"/>
  <c r="K33" i="49"/>
  <c r="K51" i="49"/>
  <c r="K62" i="47"/>
  <c r="K66" i="47"/>
  <c r="I77" i="49"/>
  <c r="J129" i="47"/>
  <c r="J134" i="47"/>
  <c r="K129" i="47"/>
  <c r="I17" i="46"/>
  <c r="I21" i="46"/>
  <c r="J105" i="49"/>
  <c r="L100" i="47"/>
  <c r="K64" i="49"/>
  <c r="L30" i="49"/>
  <c r="L58" i="47"/>
  <c r="J55" i="49"/>
  <c r="J16" i="46"/>
  <c r="I108" i="49"/>
  <c r="J13" i="46"/>
  <c r="J54" i="49"/>
  <c r="L88" i="49"/>
  <c r="L72" i="49"/>
  <c r="J106" i="49"/>
  <c r="J60" i="49"/>
  <c r="J66" i="49"/>
  <c r="L14" i="46"/>
  <c r="K65" i="47"/>
  <c r="K34" i="49"/>
  <c r="K48" i="49"/>
  <c r="K53" i="49"/>
  <c r="K55" i="49"/>
  <c r="L60" i="47"/>
  <c r="L61" i="47"/>
  <c r="L52" i="49"/>
  <c r="L32" i="49"/>
  <c r="J74" i="49"/>
  <c r="J75" i="49"/>
  <c r="L102" i="47"/>
  <c r="L103" i="47"/>
  <c r="L64" i="49"/>
  <c r="J17" i="46"/>
  <c r="J21" i="46"/>
  <c r="J108" i="49"/>
  <c r="J77" i="49"/>
  <c r="K105" i="49"/>
  <c r="K41" i="49"/>
  <c r="K40" i="49"/>
  <c r="K54" i="49"/>
  <c r="K82" i="49"/>
  <c r="K90" i="49"/>
  <c r="K104" i="49"/>
  <c r="K13" i="46"/>
  <c r="K37" i="49"/>
  <c r="K16" i="46"/>
  <c r="K17" i="46"/>
  <c r="K21" i="46"/>
  <c r="K130" i="47"/>
  <c r="K134" i="47"/>
  <c r="K74" i="49"/>
  <c r="K75" i="49"/>
  <c r="K35" i="49"/>
  <c r="L33" i="49"/>
  <c r="L51" i="49"/>
  <c r="L62" i="47"/>
  <c r="L66" i="47"/>
  <c r="L49" i="49"/>
  <c r="L83" i="49"/>
  <c r="K106" i="49"/>
  <c r="K60" i="49"/>
  <c r="K66" i="49"/>
  <c r="K77" i="49"/>
  <c r="L34" i="49"/>
  <c r="L37" i="49"/>
  <c r="L65" i="47"/>
  <c r="L129" i="47"/>
  <c r="L105" i="49"/>
  <c r="K108" i="49"/>
  <c r="L48" i="49"/>
  <c r="L53" i="49"/>
  <c r="L54" i="49"/>
  <c r="L130" i="47"/>
  <c r="L134" i="47"/>
  <c r="L74" i="49"/>
  <c r="L75" i="49"/>
  <c r="L41" i="49"/>
  <c r="L35" i="49"/>
  <c r="L82" i="49"/>
  <c r="L90" i="49"/>
  <c r="L104" i="49"/>
  <c r="L40" i="49"/>
  <c r="L106" i="49"/>
  <c r="L60" i="49"/>
  <c r="L66" i="49"/>
  <c r="L77" i="49"/>
  <c r="L55" i="49"/>
  <c r="L16" i="46"/>
  <c r="L13" i="46"/>
  <c r="L108" i="49"/>
  <c r="L17" i="46"/>
  <c r="L21" i="46"/>
  <c r="M18" i="46"/>
  <c r="G35" i="46"/>
  <c r="G36" i="46"/>
  <c r="M21" i="46"/>
  <c r="G22" i="46"/>
  <c r="G25" i="46"/>
  <c r="G29" i="46"/>
  <c r="G31" i="46"/>
  <c r="G33" i="46"/>
</calcChain>
</file>

<file path=xl/sharedStrings.xml><?xml version="1.0" encoding="utf-8"?>
<sst xmlns="http://schemas.openxmlformats.org/spreadsheetml/2006/main" count="444" uniqueCount="222">
  <si>
    <t/>
  </si>
  <si>
    <t>Total net sales</t>
  </si>
  <si>
    <t>Products</t>
  </si>
  <si>
    <t>Services</t>
  </si>
  <si>
    <t>Research and development</t>
  </si>
  <si>
    <t>Selling, general and administrative</t>
  </si>
  <si>
    <t>Total operating expenses</t>
  </si>
  <si>
    <t>Interest expense</t>
  </si>
  <si>
    <t>Other income/(expense), net</t>
  </si>
  <si>
    <t>Provision for income taxes</t>
  </si>
  <si>
    <t>Net sales:</t>
  </si>
  <si>
    <t>Cost of sales:</t>
  </si>
  <si>
    <t>Total cost of sales</t>
  </si>
  <si>
    <t>Gross margin</t>
  </si>
  <si>
    <t>Operating expenses:</t>
  </si>
  <si>
    <t>Operating income</t>
  </si>
  <si>
    <t>Income before provision for income taxes</t>
  </si>
  <si>
    <t>Net income</t>
  </si>
  <si>
    <t>Earnings per share:</t>
  </si>
  <si>
    <t>Basic</t>
  </si>
  <si>
    <t>Diluted</t>
  </si>
  <si>
    <t>Shares used in computing earnings per share:</t>
  </si>
  <si>
    <t>ASSETS:</t>
  </si>
  <si>
    <t>Cash and cash equivalents</t>
  </si>
  <si>
    <t>Marketable securities</t>
  </si>
  <si>
    <t>Accounts receivable, net</t>
  </si>
  <si>
    <t>Inventories</t>
  </si>
  <si>
    <t>Property, plant and equipment, net</t>
  </si>
  <si>
    <t>Total assets</t>
  </si>
  <si>
    <t>LIABILITIES AND SHAREHOLDERS' EQUITY:</t>
  </si>
  <si>
    <t>Accounts payable</t>
  </si>
  <si>
    <t>Term debt</t>
  </si>
  <si>
    <t>Total liabilities</t>
  </si>
  <si>
    <t>Total shareholders' equity</t>
  </si>
  <si>
    <t>Total liabilities and shareholders' equity</t>
  </si>
  <si>
    <t>(In millions, except per share amounts)</t>
  </si>
  <si>
    <t>Depreciation and amortization</t>
  </si>
  <si>
    <t>Operating</t>
  </si>
  <si>
    <t>Term Debt</t>
  </si>
  <si>
    <t>Apple Inc. Financial Model</t>
  </si>
  <si>
    <t>* End *</t>
  </si>
  <si>
    <t>EBITDA</t>
  </si>
  <si>
    <t>Less: change in working capital</t>
  </si>
  <si>
    <t>Less: capex</t>
  </si>
  <si>
    <t>Less: taxes</t>
  </si>
  <si>
    <t>Free Cash Flow</t>
  </si>
  <si>
    <t>PV Factor</t>
  </si>
  <si>
    <t>Discounted cash flow</t>
  </si>
  <si>
    <t>Net present value (Enterprise value)</t>
  </si>
  <si>
    <t>Equity value</t>
  </si>
  <si>
    <t>Divide by: Shares outstanding</t>
  </si>
  <si>
    <t>Equity value / share</t>
  </si>
  <si>
    <t>Current share price</t>
  </si>
  <si>
    <t>Terminal Value</t>
  </si>
  <si>
    <t>Discount rate</t>
  </si>
  <si>
    <t>Appl share price</t>
  </si>
  <si>
    <t>Products - annual growth rate</t>
  </si>
  <si>
    <t>Services - annual growth rate</t>
  </si>
  <si>
    <t>Products - COGS %</t>
  </si>
  <si>
    <t>Services - COGS %</t>
  </si>
  <si>
    <t xml:space="preserve">Research and development / Sales </t>
  </si>
  <si>
    <t>Selling, general and administrative annual growth</t>
  </si>
  <si>
    <t xml:space="preserve">Effective tax rate </t>
  </si>
  <si>
    <t>%</t>
  </si>
  <si>
    <t>$</t>
  </si>
  <si>
    <t>#</t>
  </si>
  <si>
    <t>Units</t>
  </si>
  <si>
    <t>Opening balance</t>
  </si>
  <si>
    <t>annual growth</t>
  </si>
  <si>
    <t>Ending balance</t>
  </si>
  <si>
    <t>Revenues</t>
  </si>
  <si>
    <t>COGS%</t>
  </si>
  <si>
    <t>Cost of Sales</t>
  </si>
  <si>
    <t>Total revenues</t>
  </si>
  <si>
    <t>R&amp;D / Sales</t>
  </si>
  <si>
    <t>Total R&amp;D</t>
  </si>
  <si>
    <t>Total SG&amp;A</t>
  </si>
  <si>
    <t>Growth %</t>
  </si>
  <si>
    <t>Margin %</t>
  </si>
  <si>
    <t>Net margin %</t>
  </si>
  <si>
    <t>Terminal growth rate</t>
  </si>
  <si>
    <t>Investing</t>
  </si>
  <si>
    <t>Financing</t>
  </si>
  <si>
    <t>Net Cash Flow</t>
  </si>
  <si>
    <t xml:space="preserve">Opening Cash </t>
  </si>
  <si>
    <t>Ending Cash</t>
  </si>
  <si>
    <t>Shareholders Equity</t>
  </si>
  <si>
    <t>Other assets</t>
  </si>
  <si>
    <t>Accounts Receivable</t>
  </si>
  <si>
    <t>TTM Sales</t>
  </si>
  <si>
    <t>DSO</t>
  </si>
  <si>
    <t>AR - DSO</t>
  </si>
  <si>
    <t>Inventory Days</t>
  </si>
  <si>
    <t>AP - DPO</t>
  </si>
  <si>
    <t>Additions to PPE</t>
  </si>
  <si>
    <t>Dividends / share</t>
  </si>
  <si>
    <t>Shares issued</t>
  </si>
  <si>
    <t>Net AR</t>
  </si>
  <si>
    <t>Inventory</t>
  </si>
  <si>
    <t>TTM Cost of Sales - Products</t>
  </si>
  <si>
    <t>Inventory days</t>
  </si>
  <si>
    <t>Total inventory</t>
  </si>
  <si>
    <t>Accounts Payable</t>
  </si>
  <si>
    <t>DPO</t>
  </si>
  <si>
    <t>Marketable Securities</t>
  </si>
  <si>
    <t>Net additions</t>
  </si>
  <si>
    <t>PPE</t>
  </si>
  <si>
    <t>Additions</t>
  </si>
  <si>
    <t>Depreciation</t>
  </si>
  <si>
    <t>Add: net income for the year</t>
  </si>
  <si>
    <t>Add: Equity issuance</t>
  </si>
  <si>
    <t>Less: Dividends</t>
  </si>
  <si>
    <t>Dividends Paid</t>
  </si>
  <si>
    <t># of Shs outstanding</t>
  </si>
  <si>
    <t>Dividends / Share</t>
  </si>
  <si>
    <t>Additions to PPE, net</t>
  </si>
  <si>
    <t>Additions to marketable securities, net</t>
  </si>
  <si>
    <t>Additions to term debt, net</t>
  </si>
  <si>
    <t>Dividends paid</t>
  </si>
  <si>
    <t>Net financing cash flow</t>
  </si>
  <si>
    <t>Net investing cash flow</t>
  </si>
  <si>
    <t>Net operating cash flow</t>
  </si>
  <si>
    <t>Add back: depreciation included in the above</t>
  </si>
  <si>
    <t>Less: change in net working capital</t>
  </si>
  <si>
    <t>Net AP</t>
  </si>
  <si>
    <t>Actual</t>
  </si>
  <si>
    <t>Forecast</t>
  </si>
  <si>
    <t>Additions to (Sales of) Marketable Securities</t>
  </si>
  <si>
    <t>Addition to (repayment of) term debt</t>
  </si>
  <si>
    <t>Add: excess cash</t>
  </si>
  <si>
    <t>Less: debt</t>
  </si>
  <si>
    <t>N/A</t>
  </si>
  <si>
    <t>Working capital balances</t>
  </si>
  <si>
    <t>Model date</t>
  </si>
  <si>
    <t>(Increase) / decrease in AR</t>
  </si>
  <si>
    <t>(Increase) / decrease in inventory</t>
  </si>
  <si>
    <t>Increase / (decrease) in AP</t>
  </si>
  <si>
    <t>Depreciation of PPE - annual rate</t>
  </si>
  <si>
    <t>days</t>
  </si>
  <si>
    <t>date</t>
  </si>
  <si>
    <t>Issue price</t>
  </si>
  <si>
    <t>Shares repurchased</t>
  </si>
  <si>
    <t>Purchase price</t>
  </si>
  <si>
    <t>Basic - opening balance</t>
  </si>
  <si>
    <t>Diluted - opening balance</t>
  </si>
  <si>
    <t>Additions / (repurchases)</t>
  </si>
  <si>
    <t>Interest rate</t>
  </si>
  <si>
    <t>Total interest expense</t>
  </si>
  <si>
    <t>Interest on term debt</t>
  </si>
  <si>
    <t>Add back:</t>
  </si>
  <si>
    <t>Income tax expense</t>
  </si>
  <si>
    <t>Return on marketable securities</t>
  </si>
  <si>
    <t>Less:</t>
  </si>
  <si>
    <t>Interest income</t>
  </si>
  <si>
    <t>Mid-period</t>
  </si>
  <si>
    <t>End period</t>
  </si>
  <si>
    <t>Selected approach:</t>
  </si>
  <si>
    <t>Timelines</t>
  </si>
  <si>
    <t>check: total assets = total liabilities and shareholders' equity</t>
  </si>
  <si>
    <t>check: ending cash = cash on balance sheet</t>
  </si>
  <si>
    <t>Implied share price premium / (discount)</t>
  </si>
  <si>
    <t>(Increase) / decrease in other assets</t>
  </si>
  <si>
    <t>Increase / (decrease) in other Liabilities</t>
  </si>
  <si>
    <t>Less: Shares repurchased</t>
  </si>
  <si>
    <t>Other Assets - DSO</t>
  </si>
  <si>
    <t>Other Assets</t>
  </si>
  <si>
    <t>Total Other Assets</t>
  </si>
  <si>
    <t>Other Liabilities</t>
  </si>
  <si>
    <t>Total interest income</t>
  </si>
  <si>
    <t>Other income/(expense)</t>
  </si>
  <si>
    <t>text</t>
  </si>
  <si>
    <t>TTM Cost of sales and other expenses</t>
  </si>
  <si>
    <t>Depreciation and amortization included in net income above</t>
  </si>
  <si>
    <t>Discount Period</t>
  </si>
  <si>
    <t>Summary of Key Inputs</t>
  </si>
  <si>
    <t>Valuation Summary</t>
  </si>
  <si>
    <t>Enterprise value</t>
  </si>
  <si>
    <t>Discount periods</t>
  </si>
  <si>
    <t>CICBV Best Practices in Financial Modelling</t>
  </si>
  <si>
    <t>EBITDA Margin</t>
  </si>
  <si>
    <t>check: net income = net income on calculations page</t>
  </si>
  <si>
    <t>Implied FY27 EV/Revenue terminal multiple</t>
  </si>
  <si>
    <t>Implied FY27 EV/EBITDA terminal multiple</t>
  </si>
  <si>
    <t>Add: marketable securities</t>
  </si>
  <si>
    <t>Maximum cash required on hand</t>
  </si>
  <si>
    <t>October 31, 2022</t>
  </si>
  <si>
    <t>(Interest expense)</t>
  </si>
  <si>
    <t>Other liabilities</t>
  </si>
  <si>
    <t>Other liabilities growth</t>
  </si>
  <si>
    <t>Product growth rate</t>
  </si>
  <si>
    <t>base growth rate</t>
  </si>
  <si>
    <t>product launch impact</t>
  </si>
  <si>
    <t>total growth rate</t>
  </si>
  <si>
    <t>product launch flag</t>
  </si>
  <si>
    <t>Product launch growth impact</t>
  </si>
  <si>
    <t>New product launch year</t>
  </si>
  <si>
    <t>year</t>
  </si>
  <si>
    <t>1. Modeller's inputs</t>
  </si>
  <si>
    <t>2. Valuation inputs</t>
  </si>
  <si>
    <t>3. P&amp;L Inputs</t>
  </si>
  <si>
    <t>4. Balance Sheet Inputs</t>
  </si>
  <si>
    <t>5. Shareholders' Equity Inputs</t>
  </si>
  <si>
    <t>6. Historical P&amp;L</t>
  </si>
  <si>
    <t>7. Opening Balance Sheet</t>
  </si>
  <si>
    <t>1. Income Statement Calculations</t>
  </si>
  <si>
    <t>2. Balance Sheet Calculations</t>
  </si>
  <si>
    <t>1. Income Statement</t>
  </si>
  <si>
    <t>2. Balance Sheet</t>
  </si>
  <si>
    <t>3. Statement of Cash Flows</t>
  </si>
  <si>
    <t>Days in year for working capital purposes</t>
  </si>
  <si>
    <t>This model has been prepared to illustrate the development of a 3 statement financial model along with a discounted cash flow calculation of the equity value per share of Apple Inc.</t>
  </si>
  <si>
    <t>There are no macros in this model.</t>
  </si>
  <si>
    <t>Please note that although this model follows the CICBV calculation of equity value, certain simplifying assumptions have been made and it is not intended to be a formal calculation of the Fair Market Value of the shares of Apple Inc.</t>
  </si>
  <si>
    <t>Notes:</t>
  </si>
  <si>
    <t>1.</t>
  </si>
  <si>
    <t>2.</t>
  </si>
  <si>
    <t>3.</t>
  </si>
  <si>
    <t>4.</t>
  </si>
  <si>
    <t>5.</t>
  </si>
  <si>
    <t>All inputs are located on the sheet "3. Inputs" and all input cells font colour is BLUE.</t>
  </si>
  <si>
    <t>The source data for this model is drawn from the Apple Inc. form 10-K filed on October 28, 2022 and can be downloaded from the following location: https://investor.apple.com/sec-filings/default.aspx</t>
  </si>
  <si>
    <t>Discounted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</si>
</sst>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#,##0.00_);[Red]\(&quot;$&quot;#,##0.00\)"/>
    <numFmt numFmtId="165" formatCode="_(&quot;$&quot;* #,##0_);_(&quot;$&quot;* \(#,##0\);_(&quot;$&quot;* &quot;-&quot;_);_(@_)"/>
    <numFmt numFmtId="166" formatCode="_(* #,##0.00_);_(* \(#,##0.00\);_(* &quot;-&quot;??_);_(@_)"/>
    <numFmt numFmtId="167" formatCode="_(* #,##0.0_);_(* \(#,##0.0\);_(* &quot;-&quot;??_);_(@_)"/>
    <numFmt numFmtId="168" formatCode="_(* #,##0_);_(* \(#,##0\);_(* &quot;-&quot;??_);_(@_)"/>
    <numFmt numFmtId="169" formatCode="0.0%"/>
    <numFmt numFmtId="170" formatCode="0.0\x"/>
  </numFmts>
  <fonts count="1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2"/>
      <name val="Arial"/>
      <family val="2"/>
    </font>
    <font>
      <sz val="10"/>
      <color rgb="FF00B0F0"/>
      <name val="Arial"/>
      <family val="2"/>
    </font>
    <font>
      <sz val="10"/>
      <color theme="0" tint="-0.499984740745262"/>
      <name val="Arial"/>
      <family val="2"/>
    </font>
    <font>
      <sz val="10"/>
      <color rgb="FF0070C0"/>
      <name val="Arial"/>
      <family val="2"/>
    </font>
    <font>
      <sz val="10"/>
      <color rgb="FF0000FF"/>
      <name val="Arial"/>
      <family val="2"/>
    </font>
    <font>
      <u/>
      <sz val="9"/>
      <color rgb="FF0000FF"/>
      <name val="Arial"/>
      <family val="2"/>
    </font>
    <font>
      <b/>
      <sz val="10"/>
      <color rgb="FF0000FF"/>
      <name val="Arial"/>
      <family val="2"/>
    </font>
    <font>
      <i/>
      <sz val="8"/>
      <color theme="0" tint="-0.499984740745262"/>
      <name val="Arial"/>
      <family val="2"/>
    </font>
    <font>
      <sz val="8"/>
      <color theme="0" tint="-0.499984740745262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rgb="FF02538B"/>
      </top>
      <bottom style="medium">
        <color rgb="FF02538B"/>
      </bottom>
      <diagonal/>
    </border>
    <border>
      <left/>
      <right/>
      <top style="thin">
        <color rgb="FF02538B"/>
      </top>
      <bottom/>
      <diagonal/>
    </border>
    <border>
      <left/>
      <right/>
      <top style="thin">
        <color rgb="FF02538B"/>
      </top>
      <bottom style="thin">
        <color rgb="FF02538B"/>
      </bottom>
      <diagonal/>
    </border>
  </borders>
  <cellStyleXfs count="4">
    <xf numFmtId="0" fontId="0" fillId="0" borderId="0">
      <alignment vertical="top"/>
    </xf>
    <xf numFmtId="166" fontId="2" fillId="0" borderId="0">
      <alignment vertical="top"/>
    </xf>
    <xf numFmtId="164" fontId="2" fillId="0" borderId="0">
      <alignment vertical="top"/>
    </xf>
    <xf numFmtId="9" fontId="2" fillId="0" borderId="0">
      <alignment vertical="top"/>
    </xf>
  </cellStyleXfs>
  <cellXfs count="119">
    <xf numFmtId="0" fontId="0" fillId="0" borderId="0" xfId="0">
      <alignment vertical="top"/>
    </xf>
    <xf numFmtId="0" fontId="2" fillId="0" borderId="0" xfId="0" applyFont="1">
      <alignment vertical="top"/>
    </xf>
    <xf numFmtId="37" fontId="2" fillId="0" borderId="0" xfId="0" applyNumberFormat="1" applyFont="1">
      <alignment vertical="top"/>
    </xf>
    <xf numFmtId="165" fontId="2" fillId="0" borderId="0" xfId="0" applyNumberFormat="1" applyFont="1">
      <alignment vertical="top"/>
    </xf>
    <xf numFmtId="0" fontId="3" fillId="0" borderId="0" xfId="0" applyFont="1">
      <alignment vertical="top"/>
    </xf>
    <xf numFmtId="15" fontId="3" fillId="0" borderId="0" xfId="0" quotePrefix="1" applyNumberFormat="1" applyFo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9" fontId="0" fillId="0" borderId="0" xfId="0" applyNumberFormat="1">
      <alignment vertical="top"/>
    </xf>
    <xf numFmtId="166" fontId="2" fillId="0" borderId="0" xfId="1">
      <alignment vertical="top"/>
    </xf>
    <xf numFmtId="0" fontId="0" fillId="0" borderId="1" xfId="0" applyBorder="1">
      <alignment vertical="top"/>
    </xf>
    <xf numFmtId="168" fontId="2" fillId="0" borderId="0" xfId="1" applyNumberFormat="1">
      <alignment vertical="top"/>
    </xf>
    <xf numFmtId="166" fontId="2" fillId="0" borderId="0" xfId="1" applyNumberFormat="1">
      <alignment vertical="top"/>
    </xf>
    <xf numFmtId="164" fontId="2" fillId="0" borderId="0" xfId="2">
      <alignment vertical="top"/>
    </xf>
    <xf numFmtId="9" fontId="2" fillId="0" borderId="1" xfId="3" applyBorder="1">
      <alignment vertical="top"/>
    </xf>
    <xf numFmtId="0" fontId="0" fillId="0" borderId="2" xfId="0" applyBorder="1">
      <alignment vertical="top"/>
    </xf>
    <xf numFmtId="165" fontId="0" fillId="0" borderId="0" xfId="0" applyNumberFormat="1">
      <alignment vertical="top"/>
    </xf>
    <xf numFmtId="166" fontId="0" fillId="0" borderId="0" xfId="0" applyNumberFormat="1">
      <alignment vertical="top"/>
    </xf>
    <xf numFmtId="9" fontId="2" fillId="0" borderId="0" xfId="3">
      <alignment vertical="top"/>
    </xf>
    <xf numFmtId="37" fontId="0" fillId="0" borderId="0" xfId="0" applyNumberFormat="1">
      <alignment vertical="top"/>
    </xf>
    <xf numFmtId="0" fontId="9" fillId="0" borderId="0" xfId="0" applyFont="1">
      <alignment vertical="top"/>
    </xf>
    <xf numFmtId="0" fontId="10" fillId="0" borderId="0" xfId="0" applyFont="1">
      <alignment vertical="top"/>
    </xf>
    <xf numFmtId="165" fontId="10" fillId="0" borderId="0" xfId="0" applyNumberFormat="1" applyFont="1">
      <alignment vertical="top"/>
    </xf>
    <xf numFmtId="37" fontId="10" fillId="0" borderId="0" xfId="0" applyNumberFormat="1" applyFo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168" fontId="0" fillId="0" borderId="0" xfId="0" applyNumberFormat="1">
      <alignment vertical="top"/>
    </xf>
    <xf numFmtId="0" fontId="2" fillId="0" borderId="2" xfId="0" applyFont="1" applyBorder="1">
      <alignment vertical="top"/>
    </xf>
    <xf numFmtId="168" fontId="2" fillId="0" borderId="2" xfId="1" applyNumberFormat="1" applyBorder="1">
      <alignment vertical="top"/>
    </xf>
    <xf numFmtId="0" fontId="2" fillId="0" borderId="1" xfId="0" applyFont="1" applyBorder="1">
      <alignment vertical="top"/>
    </xf>
    <xf numFmtId="168" fontId="2" fillId="0" borderId="1" xfId="1" applyNumberFormat="1" applyBorder="1">
      <alignment vertical="top"/>
    </xf>
    <xf numFmtId="0" fontId="6" fillId="0" borderId="0" xfId="0" applyFont="1" applyFill="1" applyBorder="1">
      <alignment vertical="top"/>
    </xf>
    <xf numFmtId="0" fontId="2" fillId="0" borderId="0" xfId="0" applyFont="1" applyBorder="1">
      <alignment vertical="top"/>
    </xf>
    <xf numFmtId="0" fontId="0" fillId="0" borderId="0" xfId="0" applyBorder="1">
      <alignment vertical="top"/>
    </xf>
    <xf numFmtId="0" fontId="6" fillId="0" borderId="0" xfId="0" applyFont="1">
      <alignment vertical="top"/>
    </xf>
    <xf numFmtId="0" fontId="7" fillId="0" borderId="0" xfId="0" applyFont="1">
      <alignment vertical="top"/>
    </xf>
    <xf numFmtId="165" fontId="7" fillId="0" borderId="0" xfId="0" applyNumberFormat="1" applyFont="1">
      <alignment vertical="top"/>
    </xf>
    <xf numFmtId="37" fontId="7" fillId="0" borderId="0" xfId="0" applyNumberFormat="1" applyFont="1">
      <alignment vertical="top"/>
    </xf>
    <xf numFmtId="0" fontId="6" fillId="0" borderId="2" xfId="0" applyFont="1" applyBorder="1">
      <alignment vertical="top"/>
    </xf>
    <xf numFmtId="168" fontId="0" fillId="0" borderId="1" xfId="0" applyNumberFormat="1" applyBorder="1">
      <alignment vertical="top"/>
    </xf>
    <xf numFmtId="0" fontId="0" fillId="0" borderId="3" xfId="0" applyBorder="1">
      <alignment vertical="top"/>
    </xf>
    <xf numFmtId="168" fontId="6" fillId="0" borderId="0" xfId="1" applyNumberFormat="1" applyFont="1">
      <alignment vertical="top"/>
    </xf>
    <xf numFmtId="9" fontId="6" fillId="0" borderId="0" xfId="0" applyNumberFormat="1" applyFont="1">
      <alignment vertical="top"/>
    </xf>
    <xf numFmtId="0" fontId="11" fillId="0" borderId="0" xfId="0" applyFont="1">
      <alignment vertical="top"/>
    </xf>
    <xf numFmtId="9" fontId="11" fillId="0" borderId="0" xfId="3" applyFont="1">
      <alignment vertical="top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/>
    </xf>
    <xf numFmtId="169" fontId="8" fillId="0" borderId="0" xfId="0" applyNumberFormat="1" applyFont="1" applyAlignment="1">
      <alignment vertical="top"/>
    </xf>
    <xf numFmtId="9" fontId="8" fillId="0" borderId="0" xfId="0" applyNumberFormat="1" applyFont="1" applyAlignment="1">
      <alignment vertical="top"/>
    </xf>
    <xf numFmtId="167" fontId="2" fillId="0" borderId="0" xfId="1" applyNumberFormat="1">
      <alignment vertical="top"/>
    </xf>
    <xf numFmtId="168" fontId="12" fillId="0" borderId="0" xfId="1" applyNumberFormat="1" applyFont="1">
      <alignment vertical="top"/>
    </xf>
    <xf numFmtId="0" fontId="12" fillId="0" borderId="0" xfId="0" applyFont="1">
      <alignment vertical="top"/>
    </xf>
    <xf numFmtId="37" fontId="12" fillId="0" borderId="0" xfId="0" applyNumberFormat="1" applyFont="1">
      <alignment vertical="top"/>
    </xf>
    <xf numFmtId="9" fontId="12" fillId="0" borderId="0" xfId="0" applyNumberFormat="1" applyFont="1">
      <alignment vertical="top"/>
    </xf>
    <xf numFmtId="166" fontId="12" fillId="0" borderId="0" xfId="1" applyFont="1">
      <alignment vertical="top"/>
    </xf>
    <xf numFmtId="170" fontId="0" fillId="0" borderId="0" xfId="0" applyNumberFormat="1">
      <alignment vertical="top"/>
    </xf>
    <xf numFmtId="168" fontId="2" fillId="0" borderId="3" xfId="1" applyNumberFormat="1" applyBorder="1">
      <alignment vertical="top"/>
    </xf>
    <xf numFmtId="168" fontId="0" fillId="0" borderId="2" xfId="0" applyNumberFormat="1" applyBorder="1">
      <alignment vertical="top"/>
    </xf>
    <xf numFmtId="168" fontId="2" fillId="0" borderId="0" xfId="1" applyNumberFormat="1" applyAlignment="1">
      <alignment horizontal="center" vertical="top"/>
    </xf>
    <xf numFmtId="0" fontId="0" fillId="0" borderId="0" xfId="0" applyAlignment="1">
      <alignment horizontal="left" vertical="top" indent="1"/>
    </xf>
    <xf numFmtId="9" fontId="6" fillId="0" borderId="0" xfId="0" applyNumberFormat="1" applyFont="1" applyAlignment="1">
      <alignment vertical="top"/>
    </xf>
    <xf numFmtId="0" fontId="12" fillId="0" borderId="0" xfId="0" quotePrefix="1" applyFont="1">
      <alignment vertical="top"/>
    </xf>
    <xf numFmtId="0" fontId="2" fillId="0" borderId="0" xfId="0" applyFont="1" applyAlignment="1">
      <alignment horizontal="left" vertical="top" indent="1"/>
    </xf>
    <xf numFmtId="0" fontId="6" fillId="0" borderId="0" xfId="0" applyFont="1" applyAlignment="1">
      <alignment horizontal="left" vertical="top" indent="1"/>
    </xf>
    <xf numFmtId="0" fontId="3" fillId="0" borderId="1" xfId="0" applyFont="1" applyBorder="1">
      <alignment vertical="top"/>
    </xf>
    <xf numFmtId="168" fontId="3" fillId="0" borderId="1" xfId="1" applyNumberFormat="1" applyFont="1" applyBorder="1">
      <alignment vertical="top"/>
    </xf>
    <xf numFmtId="0" fontId="3" fillId="0" borderId="8" xfId="0" applyFont="1" applyBorder="1">
      <alignment vertical="top"/>
    </xf>
    <xf numFmtId="37" fontId="2" fillId="0" borderId="9" xfId="0" applyNumberFormat="1" applyFont="1" applyBorder="1">
      <alignment vertical="top"/>
    </xf>
    <xf numFmtId="0" fontId="0" fillId="0" borderId="9" xfId="0" applyBorder="1">
      <alignment vertical="top"/>
    </xf>
    <xf numFmtId="168" fontId="2" fillId="0" borderId="9" xfId="1" applyNumberFormat="1" applyBorder="1">
      <alignment vertical="top"/>
    </xf>
    <xf numFmtId="0" fontId="0" fillId="0" borderId="10" xfId="0" applyBorder="1">
      <alignment vertical="top"/>
    </xf>
    <xf numFmtId="168" fontId="2" fillId="0" borderId="10" xfId="1" applyNumberFormat="1" applyBorder="1">
      <alignment vertical="top"/>
    </xf>
    <xf numFmtId="0" fontId="2" fillId="0" borderId="9" xfId="0" applyFont="1" applyBorder="1">
      <alignment vertical="top"/>
    </xf>
    <xf numFmtId="168" fontId="0" fillId="0" borderId="9" xfId="0" applyNumberFormat="1" applyBorder="1">
      <alignment vertical="top"/>
    </xf>
    <xf numFmtId="37" fontId="2" fillId="0" borderId="10" xfId="0" applyNumberFormat="1" applyFont="1" applyBorder="1">
      <alignment vertical="top"/>
    </xf>
    <xf numFmtId="37" fontId="0" fillId="0" borderId="10" xfId="0" applyNumberFormat="1" applyBorder="1">
      <alignment vertical="top"/>
    </xf>
    <xf numFmtId="169" fontId="2" fillId="0" borderId="0" xfId="3" applyNumberFormat="1">
      <alignment vertical="top"/>
    </xf>
    <xf numFmtId="0" fontId="3" fillId="0" borderId="2" xfId="0" applyFont="1" applyBorder="1">
      <alignment vertical="top"/>
    </xf>
    <xf numFmtId="168" fontId="3" fillId="0" borderId="2" xfId="1" applyNumberFormat="1" applyFont="1" applyBorder="1">
      <alignment vertical="top"/>
    </xf>
    <xf numFmtId="0" fontId="2" fillId="0" borderId="2" xfId="0" applyFont="1" applyBorder="1" applyAlignment="1">
      <alignment vertical="top" readingOrder="1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168" fontId="3" fillId="0" borderId="0" xfId="1" applyNumberFormat="1" applyFont="1">
      <alignment vertical="top"/>
    </xf>
    <xf numFmtId="168" fontId="3" fillId="0" borderId="9" xfId="1" applyNumberFormat="1" applyFont="1" applyBorder="1">
      <alignment vertical="top"/>
    </xf>
    <xf numFmtId="0" fontId="15" fillId="0" borderId="0" xfId="0" applyFont="1">
      <alignment vertical="top"/>
    </xf>
    <xf numFmtId="0" fontId="16" fillId="0" borderId="0" xfId="0" applyFont="1">
      <alignment vertical="top"/>
    </xf>
    <xf numFmtId="0" fontId="0" fillId="0" borderId="4" xfId="0" applyBorder="1">
      <alignment vertical="top"/>
    </xf>
    <xf numFmtId="0" fontId="0" fillId="0" borderId="0" xfId="0" applyAlignment="1">
      <alignment horizontal="left" vertical="top"/>
    </xf>
    <xf numFmtId="10" fontId="12" fillId="0" borderId="0" xfId="0" applyNumberFormat="1" applyFont="1">
      <alignment vertical="top"/>
    </xf>
    <xf numFmtId="168" fontId="6" fillId="0" borderId="0" xfId="0" applyNumberFormat="1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3" xfId="0" applyFont="1" applyBorder="1">
      <alignment vertical="top"/>
    </xf>
    <xf numFmtId="168" fontId="0" fillId="0" borderId="3" xfId="0" applyNumberFormat="1" applyBorder="1">
      <alignment vertical="top"/>
    </xf>
    <xf numFmtId="0" fontId="3" fillId="0" borderId="0" xfId="0" applyFont="1" applyBorder="1">
      <alignment vertical="top"/>
    </xf>
    <xf numFmtId="37" fontId="2" fillId="0" borderId="2" xfId="0" applyNumberFormat="1" applyFont="1" applyBorder="1">
      <alignment vertical="top"/>
    </xf>
    <xf numFmtId="10" fontId="0" fillId="0" borderId="0" xfId="0" applyNumberFormat="1">
      <alignment vertical="top"/>
    </xf>
    <xf numFmtId="168" fontId="2" fillId="0" borderId="0" xfId="1" applyNumberFormat="1" applyFill="1">
      <alignment vertical="top"/>
    </xf>
    <xf numFmtId="164" fontId="3" fillId="0" borderId="2" xfId="2" applyFont="1" applyBorder="1">
      <alignment vertical="top"/>
    </xf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11" fillId="0" borderId="0" xfId="0" applyFont="1" applyBorder="1">
      <alignment vertical="top"/>
    </xf>
    <xf numFmtId="0" fontId="0" fillId="0" borderId="0" xfId="0" applyBorder="1" applyAlignment="1">
      <alignment horizontal="left" vertical="top"/>
    </xf>
    <xf numFmtId="0" fontId="12" fillId="0" borderId="5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0" fillId="0" borderId="0" xfId="0" applyFont="1" applyBorder="1">
      <alignment vertical="top"/>
    </xf>
    <xf numFmtId="37" fontId="1" fillId="0" borderId="8" xfId="0" applyNumberFormat="1" applyFont="1" applyBorder="1">
      <alignment vertical="top"/>
    </xf>
    <xf numFmtId="169" fontId="12" fillId="0" borderId="0" xfId="0" applyNumberFormat="1" applyFont="1">
      <alignment vertical="top"/>
    </xf>
    <xf numFmtId="9" fontId="0" fillId="0" borderId="2" xfId="0" applyNumberFormat="1" applyBorder="1">
      <alignment vertical="top"/>
    </xf>
    <xf numFmtId="0" fontId="12" fillId="0" borderId="0" xfId="1" applyNumberFormat="1" applyFont="1">
      <alignment vertical="top"/>
    </xf>
    <xf numFmtId="164" fontId="0" fillId="0" borderId="0" xfId="0" applyNumberFormat="1">
      <alignment vertical="top"/>
    </xf>
    <xf numFmtId="0" fontId="0" fillId="2" borderId="0" xfId="0" applyFill="1">
      <alignment vertical="top"/>
    </xf>
    <xf numFmtId="0" fontId="1" fillId="0" borderId="6" xfId="0" applyFont="1" applyBorder="1">
      <alignment vertical="top"/>
    </xf>
    <xf numFmtId="0" fontId="0" fillId="0" borderId="6" xfId="0" applyBorder="1">
      <alignment vertical="top"/>
    </xf>
    <xf numFmtId="0" fontId="0" fillId="0" borderId="7" xfId="0" applyBorder="1">
      <alignment vertical="top"/>
    </xf>
    <xf numFmtId="0" fontId="3" fillId="0" borderId="7" xfId="0" applyFont="1" applyBorder="1">
      <alignment vertical="top"/>
    </xf>
    <xf numFmtId="0" fontId="1" fillId="0" borderId="7" xfId="0" applyFont="1" applyBorder="1">
      <alignment vertical="top"/>
    </xf>
    <xf numFmtId="0" fontId="17" fillId="0" borderId="0" xfId="0" quotePrefix="1" applyFont="1" applyAlignment="1">
      <alignment horizontal="right" vertical="top"/>
    </xf>
    <xf numFmtId="0" fontId="17" fillId="0" borderId="0" xfId="0" applyFont="1" applyAlignment="1">
      <alignment horizontal="right" vertical="top"/>
    </xf>
    <xf numFmtId="0" fontId="1" fillId="0" borderId="0" xfId="0" applyFont="1">
      <alignment vertical="top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Revenue Forecast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'2. Financial Stmts'!$C$11</c:f>
              <c:strCache>
                <c:ptCount val="1"/>
                <c:pt idx="0">
                  <c:v>Products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cat>
            <c:numRef>
              <c:f>'2. Financial Stmts'!$G$5:$L$5</c:f>
              <c:numCache>
                <c:formatCode>General</c:formatCode>
                <c:ptCount val="6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</c:numCache>
            </c:numRef>
          </c:cat>
          <c:val>
            <c:numRef>
              <c:f>'2. Financial Stmts'!$G$11:$L$11</c:f>
              <c:numCache>
                <c:formatCode>_(* #,##0_);_(* \(#,##0\);_(* "-"??_);_(@_)</c:formatCode>
                <c:ptCount val="6"/>
                <c:pt idx="0">
                  <c:v>316199</c:v>
                </c:pt>
                <c:pt idx="1">
                  <c:v>335170.94</c:v>
                </c:pt>
                <c:pt idx="2">
                  <c:v>355281.19640000002</c:v>
                </c:pt>
                <c:pt idx="3">
                  <c:v>429890.24764399999</c:v>
                </c:pt>
                <c:pt idx="4">
                  <c:v>451384.76002620003</c:v>
                </c:pt>
                <c:pt idx="5">
                  <c:v>473953.99802751007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6B-44C6-B500-AB3BB17FA4E6}"/>
            </c:ext>
          </c:extLst>
        </c:ser>
        <c:ser>
          <c:idx val="1"/>
          <c:order val="1"/>
          <c:tx>
            <c:strRef>
              <c:f>'2. Financial Stmts'!$C$12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numRef>
              <c:f>'2. Financial Stmts'!$G$5:$L$5</c:f>
              <c:numCache>
                <c:formatCode>General</c:formatCode>
                <c:ptCount val="6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</c:numCache>
            </c:numRef>
          </c:cat>
          <c:val>
            <c:numRef>
              <c:f>'2. Financial Stmts'!$G$12:$L$12</c:f>
              <c:numCache>
                <c:formatCode>_(* #,##0_);_(* \(#,##0\);_(* "-"??_);_(@_)</c:formatCode>
                <c:ptCount val="6"/>
                <c:pt idx="0">
                  <c:v>78129</c:v>
                </c:pt>
                <c:pt idx="1">
                  <c:v>89848.349999999991</c:v>
                </c:pt>
                <c:pt idx="2">
                  <c:v>100630.152</c:v>
                </c:pt>
                <c:pt idx="3">
                  <c:v>110693.16720000001</c:v>
                </c:pt>
                <c:pt idx="4">
                  <c:v>119548.62057600002</c:v>
                </c:pt>
                <c:pt idx="5">
                  <c:v>125526.05160480003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6B-44C6-B500-AB3BB17FA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7513455"/>
        <c:axId val="1"/>
      </c:barChart>
      <c:catAx>
        <c:axId val="1107513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51345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0477644063475738E-2"/>
          <c:y val="0.59920925463119679"/>
          <c:w val="0.27707547634524732"/>
          <c:h val="8.2998579188780633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EBITDA and EPS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5235727004617"/>
          <c:y val="0.17171296296296296"/>
          <c:w val="0.74668411085916198"/>
          <c:h val="0.623665427238261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'2. Financial Stmts'!$C$47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numRef>
              <c:f>'2. Financial Stmts'!$G$5:$L$5</c:f>
              <c:numCache>
                <c:formatCode>General</c:formatCode>
                <c:ptCount val="6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</c:numCache>
            </c:numRef>
          </c:cat>
          <c:val>
            <c:numRef>
              <c:f>'2. Financial Stmts'!$G$53:$L$53</c:f>
              <c:numCache>
                <c:formatCode>_(* #,##0_);_(* \(#,##0\);_(* "-"??_);_(@_)</c:formatCode>
                <c:ptCount val="6"/>
                <c:pt idx="0">
                  <c:v>130313</c:v>
                </c:pt>
                <c:pt idx="1">
                  <c:v>140324.43528993629</c:v>
                </c:pt>
                <c:pt idx="2">
                  <c:v>152164.34312961696</c:v>
                </c:pt>
                <c:pt idx="3">
                  <c:v>179775.28847174573</c:v>
                </c:pt>
                <c:pt idx="4">
                  <c:v>191314.85177106029</c:v>
                </c:pt>
                <c:pt idx="5">
                  <c:v>201519.63625179927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5-40AF-A089-F970146A3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82913311"/>
        <c:axId val="1"/>
      </c:barChart>
      <c:lineChart>
        <c:grouping val="standard"/>
        <c:varyColors val="0"/>
        <c:ser>
          <c:idx val="0"/>
          <c:order val="0"/>
          <c:tx>
            <c:v>Basic EPS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'2. Financial Stmts'!$G$40:$L$40</c:f>
              <c:numCache>
                <c:formatCode>_(* #,##0.00_);_(* \(#,##0.00\);_(* "-"??_);_(@_)</c:formatCode>
                <c:ptCount val="6"/>
                <c:pt idx="0">
                  <c:v>6.1546144376377772</c:v>
                </c:pt>
                <c:pt idx="1">
                  <c:v>7.0590869961390075</c:v>
                </c:pt>
                <c:pt idx="2">
                  <c:v>8.0444989547545038</c:v>
                </c:pt>
                <c:pt idx="3">
                  <c:v>10.074915741006329</c:v>
                </c:pt>
                <c:pt idx="4">
                  <c:v>11.319175993225127</c:v>
                </c:pt>
                <c:pt idx="5">
                  <c:v>12.619744382274446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C5-40AF-A089-F970146A3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282913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291331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2492464285572881"/>
          <c:y val="0.89311234025641506"/>
          <c:w val="0.36740595658598313"/>
          <c:h val="7.966729795714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Net Cash Flow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30336832895888"/>
          <c:y val="0.17171296296296296"/>
          <c:w val="0.81047397200349958"/>
          <c:h val="0.65236111111111106"/>
        </c:manualLayout>
      </c:layout>
      <c:barChart>
        <c:barDir val="col"/>
        <c:grouping val="clustered"/>
        <c:varyColors val="0"/>
        <c:ser>
          <c:idx val="0"/>
          <c:order val="0"/>
          <c:tx>
            <c:v>Operating</c:v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cat>
            <c:numRef>
              <c:f>'2. Financial Stmts'!$G$5:$L$5</c:f>
              <c:numCache>
                <c:formatCode>General</c:formatCode>
                <c:ptCount val="6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</c:numCache>
            </c:numRef>
          </c:cat>
          <c:val>
            <c:numRef>
              <c:f>'2. Financial Stmts'!$H$90:$L$90</c:f>
              <c:numCache>
                <c:formatCode>_(* #,##0_);_(* \(#,##0\);_(* "-"??_);_(@_)</c:formatCode>
                <c:ptCount val="5"/>
                <c:pt idx="0">
                  <c:v>115793.79340850282</c:v>
                </c:pt>
                <c:pt idx="1">
                  <c:v>125861.26341481581</c:v>
                </c:pt>
                <c:pt idx="2">
                  <c:v>138504.30484397855</c:v>
                </c:pt>
                <c:pt idx="3">
                  <c:v>159014.26782188698</c:v>
                </c:pt>
                <c:pt idx="4">
                  <c:v>168175.25751322162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B9-4A64-BEC1-B2841738DDB8}"/>
            </c:ext>
          </c:extLst>
        </c:ser>
        <c:ser>
          <c:idx val="1"/>
          <c:order val="1"/>
          <c:tx>
            <c:v>Investing</c:v>
          </c:tx>
          <c:spPr>
            <a:solidFill>
              <a:srgbClr val="ED7D31"/>
            </a:solidFill>
            <a:ln w="25400">
              <a:noFill/>
            </a:ln>
          </c:spPr>
          <c:invertIfNegative val="0"/>
          <c:cat>
            <c:numRef>
              <c:f>'2. Financial Stmts'!$G$5:$L$5</c:f>
              <c:numCache>
                <c:formatCode>General</c:formatCode>
                <c:ptCount val="6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</c:numCache>
            </c:numRef>
          </c:cat>
          <c:val>
            <c:numRef>
              <c:f>'2. Financial Stmts'!$H$95:$L$95</c:f>
              <c:numCache>
                <c:formatCode>_(* #,##0_);_(* \(#,##0\);_(* "-"??_);_(@_)</c:formatCode>
                <c:ptCount val="5"/>
                <c:pt idx="0">
                  <c:v>-12000</c:v>
                </c:pt>
                <c:pt idx="1">
                  <c:v>-12000</c:v>
                </c:pt>
                <c:pt idx="2">
                  <c:v>-12000</c:v>
                </c:pt>
                <c:pt idx="3">
                  <c:v>-12000</c:v>
                </c:pt>
                <c:pt idx="4">
                  <c:v>-12000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B9-4A64-BEC1-B2841738DDB8}"/>
            </c:ext>
          </c:extLst>
        </c:ser>
        <c:ser>
          <c:idx val="2"/>
          <c:order val="2"/>
          <c:tx>
            <c:v>Financing</c:v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cat>
            <c:numRef>
              <c:f>'2. Financial Stmts'!$G$5:$L$5</c:f>
              <c:numCache>
                <c:formatCode>General</c:formatCode>
                <c:ptCount val="6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</c:numCache>
            </c:numRef>
          </c:cat>
          <c:val>
            <c:numRef>
              <c:f>'2. Financial Stmts'!$H$102:$L$102</c:f>
              <c:numCache>
                <c:formatCode>_(* #,##0_);_(* \(#,##0\);_(* "-"??_);_(@_)</c:formatCode>
                <c:ptCount val="5"/>
                <c:pt idx="0">
                  <c:v>-114050.8667</c:v>
                </c:pt>
                <c:pt idx="1">
                  <c:v>-114146.66485</c:v>
                </c:pt>
                <c:pt idx="2">
                  <c:v>-114170.963</c:v>
                </c:pt>
                <c:pt idx="3">
                  <c:v>-114123.76115000001</c:v>
                </c:pt>
                <c:pt idx="4">
                  <c:v>-114005.05929999999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B9-4A64-BEC1-B2841738D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282911455"/>
        <c:axId val="1"/>
      </c:barChart>
      <c:lineChart>
        <c:grouping val="standard"/>
        <c:varyColors val="0"/>
        <c:ser>
          <c:idx val="3"/>
          <c:order val="3"/>
          <c:tx>
            <c:v>Ending Cash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'2. Financial Stmts'!$G$5:$L$5</c:f>
              <c:numCache>
                <c:formatCode>General</c:formatCode>
                <c:ptCount val="6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</c:numCache>
            </c:numRef>
          </c:cat>
          <c:val>
            <c:numRef>
              <c:f>'2. Financial Stmts'!$H$106:$L$106</c:f>
              <c:numCache>
                <c:formatCode>_(* #,##0_);_(* \(#,##0\);_(* "-"??_);_(@_)</c:formatCode>
                <c:ptCount val="5"/>
                <c:pt idx="0">
                  <c:v>13388.926708502826</c:v>
                </c:pt>
                <c:pt idx="1">
                  <c:v>13103.525273318635</c:v>
                </c:pt>
                <c:pt idx="2">
                  <c:v>25436.867117297181</c:v>
                </c:pt>
                <c:pt idx="3">
                  <c:v>58327.373789184159</c:v>
                </c:pt>
                <c:pt idx="4">
                  <c:v>100497.57200240578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B9-4A64-BEC1-B2841738D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911455"/>
        <c:axId val="1"/>
      </c:lineChart>
      <c:catAx>
        <c:axId val="1282911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291145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2178494286396869E-2"/>
          <c:y val="0.89498823200918076"/>
          <c:w val="0.84261892733094257"/>
          <c:h val="7.9834631024293112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Margin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456036745406818E-2"/>
          <c:y val="0.17171296296296296"/>
          <c:w val="0.88412685914260714"/>
          <c:h val="0.56810987168270632"/>
        </c:manualLayout>
      </c:layout>
      <c:lineChart>
        <c:grouping val="standard"/>
        <c:varyColors val="0"/>
        <c:ser>
          <c:idx val="0"/>
          <c:order val="0"/>
          <c:tx>
            <c:strRef>
              <c:f>'2. Financial Stmts'!$C$20</c:f>
              <c:strCache>
                <c:ptCount val="1"/>
                <c:pt idx="0">
                  <c:v>Gross margin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'2. Financial Stmts'!$G$5:$L$5</c:f>
              <c:numCache>
                <c:formatCode>General</c:formatCode>
                <c:ptCount val="6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</c:numCache>
            </c:numRef>
          </c:cat>
          <c:val>
            <c:numRef>
              <c:f>'2. Financial Stmts'!$G$21:$L$21</c:f>
              <c:numCache>
                <c:formatCode>0%</c:formatCode>
                <c:ptCount val="6"/>
                <c:pt idx="0">
                  <c:v>0.43309630561360085</c:v>
                </c:pt>
                <c:pt idx="1">
                  <c:v>0.43780078781835996</c:v>
                </c:pt>
                <c:pt idx="2">
                  <c:v>0.44110753879185516</c:v>
                </c:pt>
                <c:pt idx="3">
                  <c:v>0.4354488900402726</c:v>
                </c:pt>
                <c:pt idx="4">
                  <c:v>0.43708915621501226</c:v>
                </c:pt>
                <c:pt idx="5">
                  <c:v>0.43708915621501215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DA-471C-B3E3-9F6778DE1940}"/>
            </c:ext>
          </c:extLst>
        </c:ser>
        <c:ser>
          <c:idx val="2"/>
          <c:order val="1"/>
          <c:tx>
            <c:v>EBITDA Margin</c:v>
          </c:tx>
          <c:marker>
            <c:symbol val="none"/>
          </c:marker>
          <c:val>
            <c:numRef>
              <c:f>'2. Financial Stmts'!$G$55:$L$55</c:f>
              <c:numCache>
                <c:formatCode>0%</c:formatCode>
                <c:ptCount val="6"/>
                <c:pt idx="0">
                  <c:v>0.3304685439532572</c:v>
                </c:pt>
                <c:pt idx="1">
                  <c:v>0.33016015647180696</c:v>
                </c:pt>
                <c:pt idx="2">
                  <c:v>0.33375862141539303</c:v>
                </c:pt>
                <c:pt idx="3">
                  <c:v>0.33255790602385527</c:v>
                </c:pt>
                <c:pt idx="4">
                  <c:v>0.33509137540577544</c:v>
                </c:pt>
                <c:pt idx="5">
                  <c:v>0.33615736899901999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DA-471C-B3E3-9F6778DE1940}"/>
            </c:ext>
          </c:extLst>
        </c:ser>
        <c:ser>
          <c:idx val="1"/>
          <c:order val="2"/>
          <c:tx>
            <c:v>Net margin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'2. Financial Stmts'!$G$5:$L$5</c:f>
              <c:numCache>
                <c:formatCode>General</c:formatCode>
                <c:ptCount val="6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</c:numCache>
            </c:numRef>
          </c:cat>
          <c:val>
            <c:numRef>
              <c:f>'2. Financial Stmts'!$G$35:$L$35</c:f>
              <c:numCache>
                <c:formatCode>0%</c:formatCode>
                <c:ptCount val="6"/>
                <c:pt idx="0">
                  <c:v>0.25309640705199732</c:v>
                </c:pt>
                <c:pt idx="1">
                  <c:v>0.25745336486005588</c:v>
                </c:pt>
                <c:pt idx="2">
                  <c:v>0.26089647541341782</c:v>
                </c:pt>
                <c:pt idx="3">
                  <c:v>0.26224216786363563</c:v>
                </c:pt>
                <c:pt idx="4">
                  <c:v>0.26479183192362199</c:v>
                </c:pt>
                <c:pt idx="5">
                  <c:v>0.26610680689646626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A-471C-B3E3-9F6778DE1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0596447"/>
        <c:axId val="1"/>
      </c:lineChart>
      <c:catAx>
        <c:axId val="1100596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059644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6301092182716373"/>
          <c:y val="0.87647618209232936"/>
          <c:w val="0.72834667199371028"/>
          <c:h val="0.110042163830975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43543</xdr:rowOff>
    </xdr:from>
    <xdr:to>
      <xdr:col>25</xdr:col>
      <xdr:colOff>179614</xdr:colOff>
      <xdr:row>57</xdr:row>
      <xdr:rowOff>43543</xdr:rowOff>
    </xdr:to>
    <xdr:pic>
      <xdr:nvPicPr>
        <xdr:cNvPr id="59418" name="Picture 1">
          <a:extLst>
            <a:ext uri="{FF2B5EF4-FFF2-40B4-BE49-F238E27FC236}">
              <a16:creationId xmlns:a16="http://schemas.microsoft.com/office/drawing/2014/main" id="{212E3180-4B31-461F-B240-64A892BA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3543"/>
          <a:ext cx="16295914" cy="899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288471</xdr:colOff>
      <xdr:row>38</xdr:row>
      <xdr:rowOff>54429</xdr:rowOff>
    </xdr:from>
    <xdr:to>
      <xdr:col>7</xdr:col>
      <xdr:colOff>185057</xdr:colOff>
      <xdr:row>55</xdr:row>
      <xdr:rowOff>54429</xdr:rowOff>
    </xdr:to>
    <xdr:graphicFrame macro="">
      <xdr:nvGraphicFramePr>
        <xdr:cNvPr id="2159" name="Chart 1">
          <a:extLst>
            <a:ext uri="{FF2B5EF4-FFF2-40B4-BE49-F238E27FC236}">
              <a16:creationId xmlns:a16="http://schemas.microsoft.com/office/drawing/2014/main" id="{014C4064-4524-33E6-71F2-3165BF3AE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255814</xdr:colOff>
      <xdr:row>58</xdr:row>
      <xdr:rowOff>10886</xdr:rowOff>
    </xdr:from>
    <xdr:to>
      <xdr:col>7</xdr:col>
      <xdr:colOff>217714</xdr:colOff>
      <xdr:row>74</xdr:row>
      <xdr:rowOff>81643</xdr:rowOff>
    </xdr:to>
    <xdr:graphicFrame macro="">
      <xdr:nvGraphicFramePr>
        <xdr:cNvPr id="2160" name="Chart 2">
          <a:extLst>
            <a:ext uri="{FF2B5EF4-FFF2-40B4-BE49-F238E27FC236}">
              <a16:creationId xmlns:a16="http://schemas.microsoft.com/office/drawing/2014/main" id="{D91813EC-0DE4-AE28-3185-CFDB3238C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348343</xdr:colOff>
      <xdr:row>58</xdr:row>
      <xdr:rowOff>10886</xdr:rowOff>
    </xdr:from>
    <xdr:to>
      <xdr:col>13</xdr:col>
      <xdr:colOff>168729</xdr:colOff>
      <xdr:row>74</xdr:row>
      <xdr:rowOff>76200</xdr:rowOff>
    </xdr:to>
    <xdr:graphicFrame macro="">
      <xdr:nvGraphicFramePr>
        <xdr:cNvPr id="2161" name="Chart 3">
          <a:extLst>
            <a:ext uri="{FF2B5EF4-FFF2-40B4-BE49-F238E27FC236}">
              <a16:creationId xmlns:a16="http://schemas.microsoft.com/office/drawing/2014/main" id="{87141178-2CE9-EC8B-8AC5-5AAAC0E830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364671</xdr:colOff>
      <xdr:row>38</xdr:row>
      <xdr:rowOff>54429</xdr:rowOff>
    </xdr:from>
    <xdr:to>
      <xdr:col>13</xdr:col>
      <xdr:colOff>190500</xdr:colOff>
      <xdr:row>56</xdr:row>
      <xdr:rowOff>27214</xdr:rowOff>
    </xdr:to>
    <xdr:graphicFrame macro="">
      <xdr:nvGraphicFramePr>
        <xdr:cNvPr id="2162" name="Chart 4">
          <a:extLst>
            <a:ext uri="{FF2B5EF4-FFF2-40B4-BE49-F238E27FC236}">
              <a16:creationId xmlns:a16="http://schemas.microsoft.com/office/drawing/2014/main" id="{57F67342-FCBD-005C-E9CD-4B945F7C23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A59"/>
  <sheetViews>
    <sheetView showGridLines="0" showRowColHeaders="0" tabSelected="1" zoomScale="70" zoomScaleNormal="70" workbookViewId="0">
      <selection activeCell="Z59" sqref="Z59"/>
    </sheetView>
  </sheetViews>
  <sheetFormatPr defaultColWidth="0" defaultRowHeight="12.3" zeroHeight="1" x14ac:dyDescent="0.4"/>
  <cols>
    <col min="1" max="26" width="9.1640625" customWidth="1"/>
  </cols>
  <sheetData>
    <row r="1" x14ac:dyDescent="0.4"/>
    <row r="2" x14ac:dyDescent="0.4"/>
    <row r="3" x14ac:dyDescent="0.4"/>
    <row r="4" x14ac:dyDescent="0.4"/>
    <row r="5" x14ac:dyDescent="0.4"/>
    <row r="6" x14ac:dyDescent="0.4"/>
    <row r="7" x14ac:dyDescent="0.4"/>
    <row r="8" x14ac:dyDescent="0.4"/>
    <row r="9" x14ac:dyDescent="0.4"/>
    <row r="10" x14ac:dyDescent="0.4"/>
    <row r="11" x14ac:dyDescent="0.4"/>
    <row r="12" x14ac:dyDescent="0.4"/>
    <row r="13" x14ac:dyDescent="0.4"/>
    <row r="14" x14ac:dyDescent="0.4"/>
    <row r="15" x14ac:dyDescent="0.4"/>
    <row r="16" x14ac:dyDescent="0.4"/>
    <row r="17" x14ac:dyDescent="0.4"/>
    <row r="18" x14ac:dyDescent="0.4"/>
    <row r="19" x14ac:dyDescent="0.4"/>
    <row r="20" x14ac:dyDescent="0.4"/>
    <row r="21" x14ac:dyDescent="0.4"/>
    <row r="22" x14ac:dyDescent="0.4"/>
    <row r="23" x14ac:dyDescent="0.4"/>
    <row r="24" x14ac:dyDescent="0.4"/>
    <row r="25" x14ac:dyDescent="0.4"/>
    <row r="26" x14ac:dyDescent="0.4"/>
    <row r="27" x14ac:dyDescent="0.4"/>
    <row r="28" x14ac:dyDescent="0.4"/>
    <row r="29" x14ac:dyDescent="0.4"/>
    <row r="30" x14ac:dyDescent="0.4"/>
    <row r="31" x14ac:dyDescent="0.4"/>
    <row r="32" x14ac:dyDescent="0.4"/>
    <row r="33" x14ac:dyDescent="0.4"/>
    <row r="34" x14ac:dyDescent="0.4"/>
    <row r="35" x14ac:dyDescent="0.4"/>
    <row r="36" x14ac:dyDescent="0.4"/>
    <row r="37" x14ac:dyDescent="0.4"/>
    <row r="38" x14ac:dyDescent="0.4"/>
    <row r="39" x14ac:dyDescent="0.4"/>
    <row r="40" x14ac:dyDescent="0.4"/>
    <row r="41" x14ac:dyDescent="0.4"/>
    <row r="42" x14ac:dyDescent="0.4"/>
    <row r="43" x14ac:dyDescent="0.4"/>
    <row r="44" x14ac:dyDescent="0.4"/>
    <row r="45" x14ac:dyDescent="0.4"/>
    <row r="46" x14ac:dyDescent="0.4"/>
    <row r="47" x14ac:dyDescent="0.4"/>
    <row r="48" x14ac:dyDescent="0.4"/>
    <row r="49" x14ac:dyDescent="0.4"/>
    <row r="50" x14ac:dyDescent="0.4"/>
    <row r="51" x14ac:dyDescent="0.4"/>
    <row r="52" x14ac:dyDescent="0.4"/>
    <row r="53" x14ac:dyDescent="0.4"/>
    <row r="54" x14ac:dyDescent="0.4"/>
    <row r="55" x14ac:dyDescent="0.4"/>
    <row r="56" x14ac:dyDescent="0.4"/>
    <row r="57" x14ac:dyDescent="0.4"/>
    <row r="58" x14ac:dyDescent="0.4"/>
    <row r="59" x14ac:dyDescent="0.4"/>
  </sheetData>
  <sheetProtection selectLockedCells="1" selectUnlockedCells="1"/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5"/>
  </sheetPr>
  <dimension ref="B1:O99"/>
  <sheetViews>
    <sheetView showGridLines="0" workbookViewId="0">
      <pane ySplit="6" topLeftCell="A7" activePane="bottomLeft" state="frozen"/>
      <selection pane="bottomLeft" activeCell="C28" sqref="C28"/>
    </sheetView>
  </sheetViews>
  <sheetFormatPr defaultColWidth="0" defaultRowHeight="12.3" zeroHeight="1" x14ac:dyDescent="0.4"/>
  <cols>
    <col min="1" max="6" width="9.1640625" customWidth="1"/>
    <col min="7" max="7" width="12.609375" bestFit="1" customWidth="1"/>
    <col min="8" max="12" width="11" bestFit="1" customWidth="1"/>
    <col min="13" max="13" width="14" bestFit="1" customWidth="1"/>
    <col min="14" max="14" width="9.1640625" customWidth="1"/>
  </cols>
  <sheetData>
    <row r="1" spans="2:14" x14ac:dyDescent="0.4"/>
    <row r="2" spans="2:14" x14ac:dyDescent="0.4">
      <c r="B2" s="4" t="s">
        <v>178</v>
      </c>
    </row>
    <row r="3" spans="2:14" x14ac:dyDescent="0.4">
      <c r="B3" s="4" t="s">
        <v>39</v>
      </c>
    </row>
    <row r="4" spans="2:14" x14ac:dyDescent="0.4">
      <c r="B4" s="5" t="str">
        <f>model_date</f>
        <v>October 31, 2022</v>
      </c>
      <c r="G4" s="25"/>
      <c r="H4" s="25" t="str">
        <f>'3. Inputs'!H4</f>
        <v>Forecast</v>
      </c>
      <c r="I4" s="25" t="str">
        <f>'3. Inputs'!I4</f>
        <v>Forecast</v>
      </c>
      <c r="J4" s="25" t="str">
        <f>'3. Inputs'!J4</f>
        <v>Forecast</v>
      </c>
      <c r="K4" s="25" t="str">
        <f>'3. Inputs'!K4</f>
        <v>Forecast</v>
      </c>
      <c r="L4" s="25" t="str">
        <f>'3. Inputs'!L4</f>
        <v>Forecast</v>
      </c>
    </row>
    <row r="5" spans="2:14" x14ac:dyDescent="0.4">
      <c r="B5" s="4" t="s">
        <v>35</v>
      </c>
      <c r="G5" s="7"/>
      <c r="H5" s="7">
        <f>'3. Inputs'!H5</f>
        <v>2023</v>
      </c>
      <c r="I5" s="7">
        <f>'3. Inputs'!I5</f>
        <v>2024</v>
      </c>
      <c r="J5" s="7">
        <f>'3. Inputs'!J5</f>
        <v>2025</v>
      </c>
      <c r="K5" s="7">
        <f>'3. Inputs'!K5</f>
        <v>2026</v>
      </c>
      <c r="L5" s="7">
        <f>'3. Inputs'!L5</f>
        <v>2027</v>
      </c>
      <c r="M5" s="4" t="s">
        <v>53</v>
      </c>
      <c r="N5" s="4"/>
    </row>
    <row r="6" spans="2:14" x14ac:dyDescent="0.4"/>
    <row r="7" spans="2:14" x14ac:dyDescent="0.4"/>
    <row r="8" spans="2:14" x14ac:dyDescent="0.4">
      <c r="B8" s="4" t="s">
        <v>174</v>
      </c>
    </row>
    <row r="9" spans="2:14" x14ac:dyDescent="0.4">
      <c r="B9" s="4"/>
      <c r="C9" t="s">
        <v>54</v>
      </c>
      <c r="F9" s="76">
        <f>discount_rate</f>
        <v>0.1</v>
      </c>
    </row>
    <row r="10" spans="2:14" x14ac:dyDescent="0.4">
      <c r="B10" s="4"/>
      <c r="C10" t="s">
        <v>80</v>
      </c>
      <c r="F10" s="76">
        <f>terminal_growth_rate</f>
        <v>3.5000000000000003E-2</v>
      </c>
    </row>
    <row r="11" spans="2:14" x14ac:dyDescent="0.4">
      <c r="B11" s="4"/>
    </row>
    <row r="12" spans="2:14" x14ac:dyDescent="0.4">
      <c r="B12" s="4" t="s">
        <v>221</v>
      </c>
    </row>
    <row r="13" spans="2:14" x14ac:dyDescent="0.4">
      <c r="C13" t="s">
        <v>41</v>
      </c>
      <c r="H13" s="26">
        <f>'2. Financial Stmts'!H53</f>
        <v>140324.43528993629</v>
      </c>
      <c r="I13" s="26">
        <f>'2. Financial Stmts'!I53</f>
        <v>152164.34312961696</v>
      </c>
      <c r="J13" s="26">
        <f>'2. Financial Stmts'!J53</f>
        <v>179775.28847174573</v>
      </c>
      <c r="K13" s="26">
        <f>'2. Financial Stmts'!K53</f>
        <v>191314.85177106029</v>
      </c>
      <c r="L13" s="26">
        <f>'2. Financial Stmts'!L53</f>
        <v>201519.63625179927</v>
      </c>
    </row>
    <row r="14" spans="2:14" x14ac:dyDescent="0.4">
      <c r="C14" t="s">
        <v>42</v>
      </c>
      <c r="H14" s="26">
        <f>SUM('2. Financial Stmts'!H85:H89)</f>
        <v>-3252.2529324290717</v>
      </c>
      <c r="I14" s="26">
        <f>SUM('2. Financial Stmts'!I85:I89)</f>
        <v>-3183.1204837229634</v>
      </c>
      <c r="J14" s="26">
        <f>SUM('2. Financial Stmts'!J85:J89)</f>
        <v>-13738.437775839076</v>
      </c>
      <c r="K14" s="26">
        <f>SUM('2. Financial Stmts'!K85:K89)</f>
        <v>-2947.4087341160612</v>
      </c>
      <c r="L14" s="26">
        <f>SUM('2. Financial Stmts'!L85:L89)</f>
        <v>-2377.0089325675035</v>
      </c>
    </row>
    <row r="15" spans="2:14" x14ac:dyDescent="0.4">
      <c r="C15" t="s">
        <v>43</v>
      </c>
      <c r="H15" s="11">
        <f>'2. Financial Stmts'!H93</f>
        <v>-12000</v>
      </c>
      <c r="I15" s="11">
        <f>'2. Financial Stmts'!I93</f>
        <v>-12000</v>
      </c>
      <c r="J15" s="11">
        <f>'2. Financial Stmts'!J93</f>
        <v>-12000</v>
      </c>
      <c r="K15" s="11">
        <f>'2. Financial Stmts'!K93</f>
        <v>-12000</v>
      </c>
      <c r="L15" s="11">
        <f>'2. Financial Stmts'!L93</f>
        <v>-12000</v>
      </c>
    </row>
    <row r="16" spans="2:14" x14ac:dyDescent="0.4">
      <c r="C16" t="s">
        <v>44</v>
      </c>
      <c r="H16" s="26">
        <f>-('2. Financial Stmts'!H53-'2. Financial Stmts'!H49)*'3. Inputs'!H46</f>
        <v>-21179.399184703747</v>
      </c>
      <c r="I16" s="26">
        <f>-('2. Financial Stmts'!I53-'2. Financial Stmts'!I49)*'3. Inputs'!I46</f>
        <v>-23020.969466777558</v>
      </c>
      <c r="J16" s="26">
        <f>-('2. Financial Stmts'!J53-'2. Financial Stmts'!J49)*'3. Inputs'!J46</f>
        <v>-27433.556087627458</v>
      </c>
      <c r="K16" s="26">
        <f>-('2. Financial Stmts'!K53-'2. Financial Stmts'!K49)*'3. Inputs'!K46</f>
        <v>-29254.185450756602</v>
      </c>
      <c r="L16" s="26">
        <f>-('2. Financial Stmts'!L53-'2. Financial Stmts'!L49)*'3. Inputs'!L46</f>
        <v>-30868.380041709494</v>
      </c>
    </row>
    <row r="17" spans="2:13" x14ac:dyDescent="0.4">
      <c r="C17" s="15" t="s">
        <v>45</v>
      </c>
      <c r="D17" s="15"/>
      <c r="E17" s="15"/>
      <c r="F17" s="15"/>
      <c r="G17" s="15"/>
      <c r="H17" s="28">
        <f>SUM(H13:H16)</f>
        <v>103892.78317280347</v>
      </c>
      <c r="I17" s="28">
        <f>SUM(I13:I16)</f>
        <v>113960.25317911642</v>
      </c>
      <c r="J17" s="28">
        <f>SUM(J13:J16)</f>
        <v>126603.29460827922</v>
      </c>
      <c r="K17" s="28">
        <f>SUM(K13:K16)</f>
        <v>147113.25758618762</v>
      </c>
      <c r="L17" s="28">
        <f>SUM(L13:L16)</f>
        <v>156274.24727752229</v>
      </c>
    </row>
    <row r="18" spans="2:13" x14ac:dyDescent="0.4">
      <c r="C18" t="s">
        <v>53</v>
      </c>
      <c r="H18" s="11"/>
      <c r="I18" s="11"/>
      <c r="J18" s="11"/>
      <c r="K18" s="11"/>
      <c r="L18" s="11"/>
      <c r="M18" s="11">
        <f>L17*(1+terminal_growth_rate)/(discount_rate-terminal_growth_rate)</f>
        <v>2488366.8604959315</v>
      </c>
    </row>
    <row r="19" spans="2:13" x14ac:dyDescent="0.4">
      <c r="C19" t="s">
        <v>173</v>
      </c>
      <c r="H19" s="49">
        <f>'3. Inputs'!H16</f>
        <v>0.5</v>
      </c>
      <c r="I19" s="49">
        <f>'3. Inputs'!I16</f>
        <v>1.5</v>
      </c>
      <c r="J19" s="49">
        <f>'3. Inputs'!J16</f>
        <v>2.5</v>
      </c>
      <c r="K19" s="49">
        <f>'3. Inputs'!K16</f>
        <v>3.5</v>
      </c>
      <c r="L19" s="49">
        <f>'3. Inputs'!L16</f>
        <v>4.5</v>
      </c>
      <c r="M19" s="49">
        <f>L19</f>
        <v>4.5</v>
      </c>
    </row>
    <row r="20" spans="2:13" x14ac:dyDescent="0.4">
      <c r="C20" t="s">
        <v>46</v>
      </c>
      <c r="H20" s="9">
        <f t="shared" ref="H20:M20" si="0">1/(1+discount_rate)^H19</f>
        <v>0.95346258924559224</v>
      </c>
      <c r="I20" s="9">
        <f t="shared" si="0"/>
        <v>0.86678417204144742</v>
      </c>
      <c r="J20" s="9">
        <f t="shared" si="0"/>
        <v>0.78798561094677033</v>
      </c>
      <c r="K20" s="9">
        <f t="shared" si="0"/>
        <v>0.71635055540615489</v>
      </c>
      <c r="L20" s="9">
        <f t="shared" si="0"/>
        <v>0.65122777764195883</v>
      </c>
      <c r="M20" s="9">
        <f t="shared" si="0"/>
        <v>0.65122777764195883</v>
      </c>
    </row>
    <row r="21" spans="2:13" x14ac:dyDescent="0.4">
      <c r="C21" s="15" t="s">
        <v>47</v>
      </c>
      <c r="D21" s="15"/>
      <c r="E21" s="15"/>
      <c r="F21" s="15"/>
      <c r="G21" s="28"/>
      <c r="H21" s="28">
        <f>H17*H20</f>
        <v>99057.882047872088</v>
      </c>
      <c r="I21" s="28">
        <f>I17*I20</f>
        <v>98778.943697494149</v>
      </c>
      <c r="J21" s="28">
        <f>J17*J20</f>
        <v>99761.574449778855</v>
      </c>
      <c r="K21" s="28">
        <f>K17*K20</f>
        <v>105384.66377947423</v>
      </c>
      <c r="L21" s="28">
        <f>L17*L20</f>
        <v>101770.13075721078</v>
      </c>
      <c r="M21" s="28">
        <f>M18*M20</f>
        <v>1620493.6205186637</v>
      </c>
    </row>
    <row r="22" spans="2:13" ht="12.6" thickBot="1" x14ac:dyDescent="0.45">
      <c r="C22" s="40" t="s">
        <v>48</v>
      </c>
      <c r="D22" s="40"/>
      <c r="E22" s="40"/>
      <c r="F22" s="40"/>
      <c r="G22" s="56">
        <f>SUM(H21:M21)</f>
        <v>2125246.8152504936</v>
      </c>
      <c r="H22" s="11"/>
      <c r="I22" s="11"/>
      <c r="J22" s="11"/>
      <c r="K22" s="11"/>
      <c r="L22" s="11"/>
      <c r="M22" s="11"/>
    </row>
    <row r="23" spans="2:13" x14ac:dyDescent="0.4"/>
    <row r="24" spans="2:13" x14ac:dyDescent="0.4">
      <c r="B24" s="4" t="s">
        <v>175</v>
      </c>
    </row>
    <row r="25" spans="2:13" x14ac:dyDescent="0.4">
      <c r="B25" s="4"/>
      <c r="C25" t="s">
        <v>176</v>
      </c>
      <c r="G25" s="26">
        <f>G22</f>
        <v>2125246.8152504936</v>
      </c>
    </row>
    <row r="26" spans="2:13" x14ac:dyDescent="0.4">
      <c r="C26" t="s">
        <v>129</v>
      </c>
      <c r="G26" s="26">
        <f>MAX('2. Financial Stmts'!G60-'3. Inputs'!F25,0)</f>
        <v>3646</v>
      </c>
    </row>
    <row r="27" spans="2:13" x14ac:dyDescent="0.4">
      <c r="C27" t="s">
        <v>183</v>
      </c>
      <c r="G27" s="26">
        <f>'2. Financial Stmts'!G63</f>
        <v>145463</v>
      </c>
    </row>
    <row r="28" spans="2:13" x14ac:dyDescent="0.4">
      <c r="C28" t="s">
        <v>130</v>
      </c>
      <c r="G28" s="26">
        <f>-'2. Financial Stmts'!G71</f>
        <v>-110087</v>
      </c>
    </row>
    <row r="29" spans="2:13" x14ac:dyDescent="0.4">
      <c r="C29" s="15" t="s">
        <v>49</v>
      </c>
      <c r="D29" s="15"/>
      <c r="E29" s="15"/>
      <c r="F29" s="15"/>
      <c r="G29" s="57">
        <f>SUM(G25:G28)</f>
        <v>2164268.8152504936</v>
      </c>
    </row>
    <row r="30" spans="2:13" x14ac:dyDescent="0.4">
      <c r="C30" t="s">
        <v>50</v>
      </c>
      <c r="G30" s="17">
        <f>'2. Financial Stmts'!G44</f>
        <v>16215.963</v>
      </c>
    </row>
    <row r="31" spans="2:13" x14ac:dyDescent="0.4">
      <c r="C31" s="77" t="s">
        <v>51</v>
      </c>
      <c r="D31" s="77"/>
      <c r="E31" s="77"/>
      <c r="F31" s="77"/>
      <c r="G31" s="97">
        <f>G29/G30</f>
        <v>133.4653276682053</v>
      </c>
    </row>
    <row r="32" spans="2:13" x14ac:dyDescent="0.4">
      <c r="C32" t="s">
        <v>52</v>
      </c>
      <c r="G32" s="13">
        <f>share_price</f>
        <v>138.38</v>
      </c>
    </row>
    <row r="33" spans="2:15" x14ac:dyDescent="0.4">
      <c r="C33" s="10" t="s">
        <v>160</v>
      </c>
      <c r="D33" s="10"/>
      <c r="E33" s="10"/>
      <c r="F33" s="10"/>
      <c r="G33" s="14">
        <f>(G32-G31)/G31</f>
        <v>3.6823588700224542E-2</v>
      </c>
    </row>
    <row r="34" spans="2:15" x14ac:dyDescent="0.4"/>
    <row r="35" spans="2:15" x14ac:dyDescent="0.4">
      <c r="C35" t="s">
        <v>181</v>
      </c>
      <c r="G35" s="55">
        <f>M18/'2. Financial Stmts'!L13</f>
        <v>4.1508751826222854</v>
      </c>
    </row>
    <row r="36" spans="2:15" x14ac:dyDescent="0.4">
      <c r="C36" t="s">
        <v>182</v>
      </c>
      <c r="G36" s="55">
        <f>M18/L13</f>
        <v>12.348011870102381</v>
      </c>
    </row>
    <row r="37" spans="2:15" x14ac:dyDescent="0.4"/>
    <row r="38" spans="2:15" ht="12.6" thickBot="1" x14ac:dyDescent="0.45">
      <c r="B38" s="111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</row>
    <row r="39" spans="2:15" x14ac:dyDescent="0.4"/>
    <row r="40" spans="2:15" ht="12.6" x14ac:dyDescent="0.4">
      <c r="J40" s="35"/>
      <c r="K40" s="35"/>
      <c r="L40" s="35"/>
      <c r="M40" s="35"/>
      <c r="N40" s="35"/>
      <c r="O40" s="35"/>
    </row>
    <row r="41" spans="2:15" x14ac:dyDescent="0.4"/>
    <row r="42" spans="2:15" x14ac:dyDescent="0.4"/>
    <row r="43" spans="2:15" x14ac:dyDescent="0.4"/>
    <row r="44" spans="2:15" x14ac:dyDescent="0.4"/>
    <row r="45" spans="2:15" x14ac:dyDescent="0.4"/>
    <row r="46" spans="2:15" x14ac:dyDescent="0.4"/>
    <row r="47" spans="2:15" x14ac:dyDescent="0.4"/>
    <row r="48" spans="2:15" x14ac:dyDescent="0.4"/>
    <row r="49" customFormat="1" x14ac:dyDescent="0.4"/>
    <row r="50" customFormat="1" x14ac:dyDescent="0.4"/>
    <row r="51" customFormat="1" x14ac:dyDescent="0.4"/>
    <row r="52" customFormat="1" x14ac:dyDescent="0.4"/>
    <row r="53" customFormat="1" x14ac:dyDescent="0.4"/>
    <row r="54" customFormat="1" x14ac:dyDescent="0.4"/>
    <row r="55" customFormat="1" x14ac:dyDescent="0.4"/>
    <row r="56" customFormat="1" x14ac:dyDescent="0.4"/>
    <row r="57" customFormat="1" x14ac:dyDescent="0.4"/>
    <row r="58" customFormat="1" x14ac:dyDescent="0.4"/>
    <row r="59" customFormat="1" x14ac:dyDescent="0.4"/>
    <row r="60" customFormat="1" x14ac:dyDescent="0.4"/>
    <row r="61" customFormat="1" x14ac:dyDescent="0.4"/>
    <row r="62" customFormat="1" x14ac:dyDescent="0.4"/>
    <row r="63" customFormat="1" x14ac:dyDescent="0.4"/>
    <row r="64" customFormat="1" x14ac:dyDescent="0.4"/>
    <row r="65" customFormat="1" x14ac:dyDescent="0.4"/>
    <row r="66" customFormat="1" x14ac:dyDescent="0.4"/>
    <row r="67" customFormat="1" x14ac:dyDescent="0.4"/>
    <row r="68" customFormat="1" x14ac:dyDescent="0.4"/>
    <row r="69" customFormat="1" x14ac:dyDescent="0.4"/>
    <row r="70" customFormat="1" x14ac:dyDescent="0.4"/>
    <row r="71" customFormat="1" x14ac:dyDescent="0.4"/>
    <row r="72" customFormat="1" x14ac:dyDescent="0.4"/>
    <row r="73" customFormat="1" x14ac:dyDescent="0.4"/>
    <row r="74" customFormat="1" x14ac:dyDescent="0.4"/>
    <row r="75" customFormat="1" x14ac:dyDescent="0.4"/>
    <row r="76" customFormat="1" x14ac:dyDescent="0.4"/>
    <row r="77" customFormat="1" x14ac:dyDescent="0.4"/>
    <row r="78" s="110" customFormat="1" x14ac:dyDescent="0.4"/>
    <row r="79" customFormat="1" x14ac:dyDescent="0.4"/>
    <row r="80" customFormat="1" x14ac:dyDescent="0.4"/>
    <row r="81" customFormat="1" x14ac:dyDescent="0.4"/>
    <row r="82" customFormat="1" x14ac:dyDescent="0.4"/>
    <row r="83" customFormat="1" hidden="1" x14ac:dyDescent="0.4"/>
    <row r="84" customFormat="1" hidden="1" x14ac:dyDescent="0.4"/>
    <row r="85" customFormat="1" hidden="1" x14ac:dyDescent="0.4"/>
    <row r="86" customFormat="1" hidden="1" x14ac:dyDescent="0.4"/>
    <row r="87" customFormat="1" hidden="1" x14ac:dyDescent="0.4"/>
    <row r="88" customFormat="1" hidden="1" x14ac:dyDescent="0.4"/>
    <row r="89" customFormat="1" hidden="1" x14ac:dyDescent="0.4"/>
    <row r="90" customFormat="1" hidden="1" x14ac:dyDescent="0.4"/>
    <row r="91" customFormat="1" hidden="1" x14ac:dyDescent="0.4"/>
    <row r="92" customFormat="1" hidden="1" x14ac:dyDescent="0.4"/>
    <row r="93" customFormat="1" hidden="1" x14ac:dyDescent="0.4"/>
    <row r="94" customFormat="1" hidden="1" x14ac:dyDescent="0.4"/>
    <row r="95" customFormat="1" hidden="1" x14ac:dyDescent="0.4"/>
    <row r="96" customFormat="1" hidden="1" x14ac:dyDescent="0.4"/>
    <row r="97" customFormat="1" hidden="1" x14ac:dyDescent="0.4"/>
    <row r="98" customFormat="1" hidden="1" x14ac:dyDescent="0.4"/>
    <row r="99" customFormat="1" hidden="1" x14ac:dyDescent="0.4"/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5"/>
  </sheetPr>
  <dimension ref="A2:IV111"/>
  <sheetViews>
    <sheetView showGridLines="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B99" sqref="B99"/>
    </sheetView>
  </sheetViews>
  <sheetFormatPr defaultColWidth="0" defaultRowHeight="12.3" x14ac:dyDescent="0.4"/>
  <cols>
    <col min="1" max="1" width="3.38671875" customWidth="1"/>
    <col min="2" max="6" width="9.1640625" customWidth="1"/>
    <col min="7" max="7" width="13.6640625" bestFit="1" customWidth="1"/>
    <col min="8" max="12" width="13.609375" bestFit="1" customWidth="1"/>
    <col min="13" max="13" width="12.609375" bestFit="1" customWidth="1"/>
    <col min="14" max="14" width="9.1640625" customWidth="1"/>
  </cols>
  <sheetData>
    <row r="2" spans="1:256" x14ac:dyDescent="0.4">
      <c r="B2" s="4" t="s">
        <v>178</v>
      </c>
    </row>
    <row r="3" spans="1:256" x14ac:dyDescent="0.4">
      <c r="B3" s="4" t="s">
        <v>39</v>
      </c>
    </row>
    <row r="4" spans="1:256" x14ac:dyDescent="0.4">
      <c r="B4" s="5" t="str">
        <f>model_date</f>
        <v>October 31, 2022</v>
      </c>
      <c r="G4" s="25" t="str">
        <f>'3. Inputs'!G4</f>
        <v>Actual</v>
      </c>
      <c r="H4" s="25" t="str">
        <f>'3. Inputs'!H4</f>
        <v>Forecast</v>
      </c>
      <c r="I4" s="25" t="str">
        <f>'3. Inputs'!I4</f>
        <v>Forecast</v>
      </c>
      <c r="J4" s="25" t="str">
        <f>'3. Inputs'!J4</f>
        <v>Forecast</v>
      </c>
      <c r="K4" s="25" t="str">
        <f>'3. Inputs'!K4</f>
        <v>Forecast</v>
      </c>
      <c r="L4" s="25" t="str">
        <f>'3. Inputs'!L4</f>
        <v>Forecast</v>
      </c>
    </row>
    <row r="5" spans="1:256" x14ac:dyDescent="0.4">
      <c r="B5" s="4" t="s">
        <v>35</v>
      </c>
      <c r="G5" s="7">
        <f>'3. Inputs'!G5</f>
        <v>2022</v>
      </c>
      <c r="H5" s="7">
        <f>'3. Inputs'!H5</f>
        <v>2023</v>
      </c>
      <c r="I5" s="7">
        <f>'3. Inputs'!I5</f>
        <v>2024</v>
      </c>
      <c r="J5" s="7">
        <f>'3. Inputs'!J5</f>
        <v>2025</v>
      </c>
      <c r="K5" s="7">
        <f>'3. Inputs'!K5</f>
        <v>2026</v>
      </c>
      <c r="L5" s="7">
        <f>'3. Inputs'!L5</f>
        <v>2027</v>
      </c>
      <c r="M5" s="4"/>
      <c r="N5" s="4"/>
    </row>
    <row r="8" spans="1:256" s="86" customFormat="1" ht="12.6" thickBot="1" x14ac:dyDescent="0.45">
      <c r="A8" s="113"/>
      <c r="B8" s="114" t="s">
        <v>206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4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4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4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4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4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4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4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4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14"/>
      <c r="DY8" s="113"/>
      <c r="DZ8" s="113"/>
      <c r="EA8" s="113"/>
      <c r="EB8" s="113"/>
      <c r="EC8" s="113"/>
      <c r="ED8" s="113"/>
      <c r="EE8" s="113"/>
      <c r="EF8" s="113"/>
      <c r="EG8" s="113"/>
      <c r="EH8" s="113"/>
      <c r="EI8" s="113"/>
      <c r="EJ8" s="113"/>
      <c r="EK8" s="113"/>
      <c r="EL8" s="114"/>
      <c r="EM8" s="113"/>
      <c r="EN8" s="113"/>
      <c r="EO8" s="113"/>
      <c r="EP8" s="113"/>
      <c r="EQ8" s="113"/>
      <c r="ER8" s="113"/>
      <c r="ES8" s="113"/>
      <c r="ET8" s="113"/>
      <c r="EU8" s="113"/>
      <c r="EV8" s="113"/>
      <c r="EW8" s="113"/>
      <c r="EX8" s="113"/>
      <c r="EY8" s="113"/>
      <c r="EZ8" s="114"/>
      <c r="FA8" s="113"/>
      <c r="FB8" s="113"/>
      <c r="FC8" s="113"/>
      <c r="FD8" s="113"/>
      <c r="FE8" s="113"/>
      <c r="FF8" s="113"/>
      <c r="FG8" s="113"/>
      <c r="FH8" s="113"/>
      <c r="FI8" s="113"/>
      <c r="FJ8" s="113"/>
      <c r="FK8" s="113"/>
      <c r="FL8" s="113"/>
      <c r="FM8" s="113"/>
      <c r="FN8" s="114"/>
      <c r="FO8" s="113"/>
      <c r="FP8" s="113"/>
      <c r="FQ8" s="113"/>
      <c r="FR8" s="113"/>
      <c r="FS8" s="113"/>
      <c r="FT8" s="113"/>
      <c r="FU8" s="113"/>
      <c r="FV8" s="113"/>
      <c r="FW8" s="113"/>
      <c r="FX8" s="113"/>
      <c r="FY8" s="113"/>
      <c r="FZ8" s="113"/>
      <c r="GA8" s="113"/>
      <c r="GB8" s="114"/>
      <c r="GC8" s="113"/>
      <c r="GD8" s="113"/>
      <c r="GE8" s="113"/>
      <c r="GF8" s="113"/>
      <c r="GG8" s="113"/>
      <c r="GH8" s="113"/>
      <c r="GI8" s="113"/>
      <c r="GJ8" s="113"/>
      <c r="GK8" s="113"/>
      <c r="GL8" s="113"/>
      <c r="GM8" s="113"/>
      <c r="GN8" s="113"/>
      <c r="GO8" s="113"/>
      <c r="GP8" s="114"/>
      <c r="GQ8" s="113"/>
      <c r="GR8" s="113"/>
      <c r="GS8" s="113"/>
      <c r="GT8" s="113"/>
      <c r="GU8" s="113"/>
      <c r="GV8" s="113"/>
      <c r="GW8" s="113"/>
      <c r="GX8" s="113"/>
      <c r="GY8" s="113"/>
      <c r="GZ8" s="113"/>
      <c r="HA8" s="113"/>
      <c r="HB8" s="113"/>
      <c r="HC8" s="113"/>
      <c r="HD8" s="114"/>
      <c r="HE8" s="113"/>
      <c r="HF8" s="113"/>
      <c r="HG8" s="113"/>
      <c r="HH8" s="113"/>
      <c r="HI8" s="113"/>
      <c r="HJ8" s="113"/>
      <c r="HK8" s="113"/>
      <c r="HL8" s="113"/>
      <c r="HM8" s="113"/>
      <c r="HN8" s="113"/>
      <c r="HO8" s="113"/>
      <c r="HP8" s="113"/>
      <c r="HQ8" s="113"/>
      <c r="HR8" s="114"/>
      <c r="HS8" s="113"/>
      <c r="HT8" s="113"/>
      <c r="HU8" s="113"/>
      <c r="HV8" s="113"/>
      <c r="HW8" s="113"/>
      <c r="HX8" s="113"/>
      <c r="HY8" s="113"/>
      <c r="HZ8" s="113"/>
      <c r="IA8" s="113"/>
      <c r="IB8" s="113"/>
      <c r="IC8" s="113"/>
      <c r="ID8" s="113"/>
      <c r="IE8" s="113"/>
      <c r="IF8" s="114"/>
      <c r="IG8" s="113"/>
      <c r="IH8" s="113"/>
      <c r="II8" s="113"/>
      <c r="IJ8" s="113"/>
      <c r="IK8" s="113"/>
      <c r="IL8" s="113"/>
      <c r="IM8" s="113"/>
      <c r="IN8" s="113"/>
      <c r="IO8" s="113"/>
      <c r="IP8" s="113"/>
      <c r="IQ8" s="113"/>
      <c r="IR8" s="113"/>
      <c r="IS8" s="113"/>
      <c r="IT8" s="114"/>
      <c r="IU8" s="113"/>
      <c r="IV8" s="113"/>
    </row>
    <row r="9" spans="1:256" ht="12.6" thickTop="1" x14ac:dyDescent="0.4">
      <c r="D9" s="1" t="s">
        <v>0</v>
      </c>
      <c r="E9" s="1" t="s">
        <v>0</v>
      </c>
    </row>
    <row r="10" spans="1:256" x14ac:dyDescent="0.4">
      <c r="C10" s="1" t="s">
        <v>10</v>
      </c>
      <c r="D10" s="1" t="s">
        <v>0</v>
      </c>
      <c r="E10" s="1" t="s">
        <v>0</v>
      </c>
      <c r="G10" s="11"/>
      <c r="H10" s="11"/>
      <c r="I10" s="11"/>
      <c r="J10" s="11"/>
      <c r="K10" s="11"/>
      <c r="L10" s="11"/>
    </row>
    <row r="11" spans="1:256" x14ac:dyDescent="0.4">
      <c r="C11" s="1" t="s">
        <v>2</v>
      </c>
      <c r="G11" s="11">
        <f>'3. Inputs'!G83</f>
        <v>316199</v>
      </c>
      <c r="H11" s="11">
        <f>'4. Calculations'!H14</f>
        <v>335170.94</v>
      </c>
      <c r="I11" s="11">
        <f>'4. Calculations'!I14</f>
        <v>355281.19640000002</v>
      </c>
      <c r="J11" s="11">
        <f>'4. Calculations'!J14</f>
        <v>429890.24764399999</v>
      </c>
      <c r="K11" s="11">
        <f>'4. Calculations'!K14</f>
        <v>451384.76002620003</v>
      </c>
      <c r="L11" s="11">
        <f>'4. Calculations'!L14</f>
        <v>473953.99802751007</v>
      </c>
    </row>
    <row r="12" spans="1:256" x14ac:dyDescent="0.4">
      <c r="C12" s="1" t="s">
        <v>3</v>
      </c>
      <c r="E12" s="1" t="s">
        <v>0</v>
      </c>
      <c r="G12" s="11">
        <f>'3. Inputs'!G84</f>
        <v>78129</v>
      </c>
      <c r="H12" s="11">
        <f>'4. Calculations'!H26</f>
        <v>89848.349999999991</v>
      </c>
      <c r="I12" s="11">
        <f>'4. Calculations'!I26</f>
        <v>100630.152</v>
      </c>
      <c r="J12" s="11">
        <f>'4. Calculations'!J26</f>
        <v>110693.16720000001</v>
      </c>
      <c r="K12" s="11">
        <f>'4. Calculations'!K26</f>
        <v>119548.62057600002</v>
      </c>
      <c r="L12" s="11">
        <f>'4. Calculations'!L26</f>
        <v>125526.05160480003</v>
      </c>
    </row>
    <row r="13" spans="1:256" x14ac:dyDescent="0.4">
      <c r="C13" s="77" t="s">
        <v>1</v>
      </c>
      <c r="D13" s="77"/>
      <c r="E13" s="77" t="s">
        <v>0</v>
      </c>
      <c r="F13" s="77"/>
      <c r="G13" s="78">
        <f t="shared" ref="G13:L13" si="0">SUM(G11:G12)</f>
        <v>394328</v>
      </c>
      <c r="H13" s="78">
        <f t="shared" si="0"/>
        <v>425019.29</v>
      </c>
      <c r="I13" s="78">
        <f t="shared" si="0"/>
        <v>455911.34840000002</v>
      </c>
      <c r="J13" s="78">
        <f t="shared" si="0"/>
        <v>540583.41484400001</v>
      </c>
      <c r="K13" s="78">
        <f t="shared" si="0"/>
        <v>570933.38060220005</v>
      </c>
      <c r="L13" s="78">
        <f t="shared" si="0"/>
        <v>599480.04963231005</v>
      </c>
    </row>
    <row r="14" spans="1:256" x14ac:dyDescent="0.4">
      <c r="C14" s="31" t="s">
        <v>77</v>
      </c>
      <c r="E14" s="1" t="s">
        <v>0</v>
      </c>
      <c r="G14" s="58" t="s">
        <v>131</v>
      </c>
      <c r="H14" s="18">
        <f>H13/G13-1</f>
        <v>7.7831881073624043E-2</v>
      </c>
      <c r="I14" s="18">
        <f>I13/H13-1</f>
        <v>7.2683897241464068E-2</v>
      </c>
      <c r="J14" s="18">
        <f>J13/I13-1</f>
        <v>0.1857204624126001</v>
      </c>
      <c r="K14" s="18">
        <f>K13/J13-1</f>
        <v>5.6142983533740809E-2</v>
      </c>
      <c r="L14" s="18">
        <f>L13/K13-1</f>
        <v>5.0000000000000044E-2</v>
      </c>
    </row>
    <row r="15" spans="1:256" x14ac:dyDescent="0.4">
      <c r="E15" s="1"/>
      <c r="G15" s="11"/>
      <c r="H15" s="11"/>
      <c r="I15" s="11"/>
      <c r="J15" s="11"/>
      <c r="K15" s="11"/>
      <c r="L15" s="11"/>
    </row>
    <row r="16" spans="1:256" x14ac:dyDescent="0.4">
      <c r="C16" s="1" t="s">
        <v>11</v>
      </c>
      <c r="G16" s="11"/>
      <c r="H16" s="11"/>
      <c r="I16" s="11"/>
      <c r="J16" s="11"/>
      <c r="K16" s="11"/>
      <c r="L16" s="11"/>
    </row>
    <row r="17" spans="3:12" x14ac:dyDescent="0.4">
      <c r="C17" s="1" t="s">
        <v>2</v>
      </c>
      <c r="G17" s="11">
        <f>'3. Inputs'!G88</f>
        <v>201471</v>
      </c>
      <c r="H17" s="11">
        <f>'4. Calculations'!H34</f>
        <v>213559.25999999998</v>
      </c>
      <c r="I17" s="11">
        <f>'4. Calculations'!I34</f>
        <v>226372.8156</v>
      </c>
      <c r="J17" s="11">
        <f>'4. Calculations'!J34</f>
        <v>273911.10687600001</v>
      </c>
      <c r="K17" s="11">
        <f>'4. Calculations'!K34</f>
        <v>287606.6622198</v>
      </c>
      <c r="L17" s="11">
        <f>'4. Calculations'!L34</f>
        <v>301986.99533079</v>
      </c>
    </row>
    <row r="18" spans="3:12" x14ac:dyDescent="0.4">
      <c r="C18" s="1" t="s">
        <v>3</v>
      </c>
      <c r="E18" s="1" t="s">
        <v>0</v>
      </c>
      <c r="G18" s="11">
        <f>'3. Inputs'!G89</f>
        <v>22075</v>
      </c>
      <c r="H18" s="11">
        <f>'4. Calculations'!H38</f>
        <v>25386.25</v>
      </c>
      <c r="I18" s="11">
        <f>'4. Calculations'!I38</f>
        <v>28432.600000000002</v>
      </c>
      <c r="J18" s="11">
        <f>'4. Calculations'!J38</f>
        <v>31275.860000000004</v>
      </c>
      <c r="K18" s="11">
        <f>'4. Calculations'!K38</f>
        <v>33777.928800000009</v>
      </c>
      <c r="L18" s="11">
        <f>'4. Calculations'!L38</f>
        <v>35466.825240000013</v>
      </c>
    </row>
    <row r="19" spans="3:12" x14ac:dyDescent="0.4">
      <c r="C19" s="27" t="s">
        <v>12</v>
      </c>
      <c r="D19" s="15"/>
      <c r="E19" s="27" t="s">
        <v>0</v>
      </c>
      <c r="F19" s="15"/>
      <c r="G19" s="28">
        <f t="shared" ref="G19:L19" si="1">SUM(G17:G18)</f>
        <v>223546</v>
      </c>
      <c r="H19" s="28">
        <f t="shared" si="1"/>
        <v>238945.50999999998</v>
      </c>
      <c r="I19" s="28">
        <f t="shared" si="1"/>
        <v>254805.41560000001</v>
      </c>
      <c r="J19" s="28">
        <f t="shared" si="1"/>
        <v>305186.96687599999</v>
      </c>
      <c r="K19" s="28">
        <f t="shared" si="1"/>
        <v>321384.59101979999</v>
      </c>
      <c r="L19" s="28">
        <f t="shared" si="1"/>
        <v>337453.82057079003</v>
      </c>
    </row>
    <row r="20" spans="3:12" x14ac:dyDescent="0.4">
      <c r="C20" s="64" t="s">
        <v>13</v>
      </c>
      <c r="D20" s="64"/>
      <c r="E20" s="64" t="s">
        <v>0</v>
      </c>
      <c r="F20" s="64"/>
      <c r="G20" s="65">
        <f t="shared" ref="G20:L20" si="2">G13-G19</f>
        <v>170782</v>
      </c>
      <c r="H20" s="65">
        <f t="shared" si="2"/>
        <v>186073.78</v>
      </c>
      <c r="I20" s="65">
        <f t="shared" si="2"/>
        <v>201105.93280000001</v>
      </c>
      <c r="J20" s="65">
        <f t="shared" si="2"/>
        <v>235396.44796800002</v>
      </c>
      <c r="K20" s="65">
        <f t="shared" si="2"/>
        <v>249548.78958240006</v>
      </c>
      <c r="L20" s="65">
        <f t="shared" si="2"/>
        <v>262026.22906152002</v>
      </c>
    </row>
    <row r="21" spans="3:12" x14ac:dyDescent="0.4">
      <c r="C21" s="31" t="s">
        <v>78</v>
      </c>
      <c r="E21" s="1" t="s">
        <v>0</v>
      </c>
      <c r="G21" s="18">
        <f t="shared" ref="G21:L21" si="3">G20/G13</f>
        <v>0.43309630561360085</v>
      </c>
      <c r="H21" s="18">
        <f t="shared" si="3"/>
        <v>0.43780078781835996</v>
      </c>
      <c r="I21" s="18">
        <f t="shared" si="3"/>
        <v>0.44110753879185516</v>
      </c>
      <c r="J21" s="18">
        <f t="shared" si="3"/>
        <v>0.4354488900402726</v>
      </c>
      <c r="K21" s="18">
        <f t="shared" si="3"/>
        <v>0.43708915621501226</v>
      </c>
      <c r="L21" s="18">
        <f t="shared" si="3"/>
        <v>0.43708915621501215</v>
      </c>
    </row>
    <row r="22" spans="3:12" x14ac:dyDescent="0.4">
      <c r="E22" s="1"/>
      <c r="G22" s="11"/>
      <c r="H22" s="11"/>
      <c r="I22" s="11"/>
      <c r="J22" s="11"/>
      <c r="K22" s="11"/>
      <c r="L22" s="11"/>
    </row>
    <row r="23" spans="3:12" x14ac:dyDescent="0.4">
      <c r="C23" s="1" t="s">
        <v>14</v>
      </c>
      <c r="G23" s="11"/>
      <c r="H23" s="11"/>
      <c r="I23" s="11"/>
      <c r="J23" s="11"/>
      <c r="K23" s="11"/>
      <c r="L23" s="11"/>
    </row>
    <row r="24" spans="3:12" x14ac:dyDescent="0.4">
      <c r="C24" s="1" t="s">
        <v>4</v>
      </c>
      <c r="G24" s="11">
        <f>'3. Inputs'!G94</f>
        <v>26251</v>
      </c>
      <c r="H24" s="11">
        <f>'4. Calculations'!H47</f>
        <v>28294.164710063702</v>
      </c>
      <c r="I24" s="11">
        <f>'4. Calculations'!I47</f>
        <v>30350.694870383031</v>
      </c>
      <c r="J24" s="11">
        <f>'4. Calculations'!J47</f>
        <v>35987.439956254297</v>
      </c>
      <c r="K24" s="11">
        <f>'4. Calculations'!K47</f>
        <v>38007.882205139766</v>
      </c>
      <c r="L24" s="11">
        <f>'4. Calculations'!L47</f>
        <v>39908.276315396753</v>
      </c>
    </row>
    <row r="25" spans="3:12" x14ac:dyDescent="0.4">
      <c r="C25" s="1" t="s">
        <v>5</v>
      </c>
      <c r="E25" s="1" t="s">
        <v>0</v>
      </c>
      <c r="G25" s="11">
        <f>'3. Inputs'!G95</f>
        <v>25094</v>
      </c>
      <c r="H25" s="11">
        <f>'4. Calculations'!H52</f>
        <v>26850.58</v>
      </c>
      <c r="I25" s="11">
        <f>'4. Calculations'!I52</f>
        <v>28461.614800000003</v>
      </c>
      <c r="J25" s="11">
        <f>'4. Calculations'!J52</f>
        <v>29884.695540000004</v>
      </c>
      <c r="K25" s="11">
        <f>'4. Calculations'!K52</f>
        <v>30781.236406200005</v>
      </c>
      <c r="L25" s="11">
        <f>'4. Calculations'!L52</f>
        <v>31396.861134324005</v>
      </c>
    </row>
    <row r="26" spans="3:12" x14ac:dyDescent="0.4">
      <c r="C26" s="79" t="s">
        <v>6</v>
      </c>
      <c r="D26" s="15"/>
      <c r="E26" s="27" t="s">
        <v>0</v>
      </c>
      <c r="F26" s="15"/>
      <c r="G26" s="28">
        <f t="shared" ref="G26:L26" si="4">SUM(G24:G25)</f>
        <v>51345</v>
      </c>
      <c r="H26" s="28">
        <f t="shared" si="4"/>
        <v>55144.744710063707</v>
      </c>
      <c r="I26" s="28">
        <f t="shared" si="4"/>
        <v>58812.309670383038</v>
      </c>
      <c r="J26" s="28">
        <f t="shared" si="4"/>
        <v>65872.135496254297</v>
      </c>
      <c r="K26" s="28">
        <f t="shared" si="4"/>
        <v>68789.118611339771</v>
      </c>
      <c r="L26" s="28">
        <f t="shared" si="4"/>
        <v>71305.137449720758</v>
      </c>
    </row>
    <row r="27" spans="3:12" x14ac:dyDescent="0.4">
      <c r="E27" s="1" t="s">
        <v>0</v>
      </c>
      <c r="G27" s="11"/>
      <c r="H27" s="11"/>
      <c r="I27" s="11"/>
      <c r="J27" s="11"/>
      <c r="K27" s="11"/>
      <c r="L27" s="11"/>
    </row>
    <row r="28" spans="3:12" x14ac:dyDescent="0.4">
      <c r="C28" s="4" t="s">
        <v>15</v>
      </c>
      <c r="D28" s="4"/>
      <c r="E28" s="4"/>
      <c r="F28" s="4"/>
      <c r="G28" s="82">
        <f t="shared" ref="G28:L28" si="5">G20-G26</f>
        <v>119437</v>
      </c>
      <c r="H28" s="82">
        <f t="shared" si="5"/>
        <v>130929.03528993629</v>
      </c>
      <c r="I28" s="82">
        <f t="shared" si="5"/>
        <v>142293.62312961696</v>
      </c>
      <c r="J28" s="82">
        <f t="shared" si="5"/>
        <v>169524.31247174571</v>
      </c>
      <c r="K28" s="82">
        <f t="shared" si="5"/>
        <v>180759.67097106029</v>
      </c>
      <c r="L28" s="82">
        <f t="shared" si="5"/>
        <v>190721.09161179926</v>
      </c>
    </row>
    <row r="29" spans="3:12" x14ac:dyDescent="0.4">
      <c r="C29" s="1" t="s">
        <v>8</v>
      </c>
      <c r="E29" s="1" t="s">
        <v>0</v>
      </c>
      <c r="G29" s="11">
        <f>'3. Inputs'!G99</f>
        <v>-228</v>
      </c>
      <c r="H29" s="11">
        <f>'4. Calculations'!H57</f>
        <v>-228</v>
      </c>
      <c r="I29" s="11">
        <f>'4. Calculations'!I57</f>
        <v>-228</v>
      </c>
      <c r="J29" s="11">
        <f>'4. Calculations'!J57</f>
        <v>-228</v>
      </c>
      <c r="K29" s="11">
        <f>'4. Calculations'!K57</f>
        <v>-228</v>
      </c>
      <c r="L29" s="11">
        <f>'4. Calculations'!L57</f>
        <v>-228</v>
      </c>
    </row>
    <row r="30" spans="3:12" x14ac:dyDescent="0.4">
      <c r="C30" s="34" t="s">
        <v>153</v>
      </c>
      <c r="E30" s="1"/>
      <c r="G30" s="11">
        <f>'3. Inputs'!G100</f>
        <v>2825</v>
      </c>
      <c r="H30" s="11">
        <f>'4. Calculations'!H97</f>
        <v>2909.26</v>
      </c>
      <c r="I30" s="11">
        <f>'4. Calculations'!I97</f>
        <v>2909.26</v>
      </c>
      <c r="J30" s="11">
        <f>'4. Calculations'!J97</f>
        <v>2909.26</v>
      </c>
      <c r="K30" s="11">
        <f>'4. Calculations'!K97</f>
        <v>2909.26</v>
      </c>
      <c r="L30" s="11">
        <f>'4. Calculations'!L97</f>
        <v>2909.26</v>
      </c>
    </row>
    <row r="31" spans="3:12" x14ac:dyDescent="0.4">
      <c r="C31" s="34" t="s">
        <v>186</v>
      </c>
      <c r="E31" s="1"/>
      <c r="G31" s="11">
        <f>'3. Inputs'!G101</f>
        <v>-2931</v>
      </c>
      <c r="H31" s="11">
        <f>-'4. Calculations'!H126</f>
        <v>-3027.3924999999999</v>
      </c>
      <c r="I31" s="11">
        <f>-'4. Calculations'!I126</f>
        <v>-3027.3924999999999</v>
      </c>
      <c r="J31" s="11">
        <f>-'4. Calculations'!J126</f>
        <v>-3027.3924999999999</v>
      </c>
      <c r="K31" s="11">
        <f>-'4. Calculations'!K126</f>
        <v>-3027.3924999999999</v>
      </c>
      <c r="L31" s="11">
        <f>-'4. Calculations'!L126</f>
        <v>-3027.3924999999999</v>
      </c>
    </row>
    <row r="32" spans="3:12" x14ac:dyDescent="0.4">
      <c r="C32" s="27" t="s">
        <v>16</v>
      </c>
      <c r="D32" s="15"/>
      <c r="E32" s="27" t="s">
        <v>0</v>
      </c>
      <c r="F32" s="15"/>
      <c r="G32" s="28">
        <f t="shared" ref="G32:L32" si="6">SUM(G28:G31)</f>
        <v>119103</v>
      </c>
      <c r="H32" s="28">
        <f t="shared" si="6"/>
        <v>130582.9027899363</v>
      </c>
      <c r="I32" s="28">
        <f t="shared" si="6"/>
        <v>141947.49062961698</v>
      </c>
      <c r="J32" s="28">
        <f t="shared" si="6"/>
        <v>169178.17997174573</v>
      </c>
      <c r="K32" s="28">
        <f t="shared" si="6"/>
        <v>180413.53847106031</v>
      </c>
      <c r="L32" s="28">
        <f t="shared" si="6"/>
        <v>190374.95911179928</v>
      </c>
    </row>
    <row r="33" spans="3:12" x14ac:dyDescent="0.4">
      <c r="C33" s="1" t="s">
        <v>9</v>
      </c>
      <c r="E33" s="1" t="s">
        <v>0</v>
      </c>
      <c r="G33" s="11">
        <f>'3. Inputs'!G103</f>
        <v>19300</v>
      </c>
      <c r="H33" s="11">
        <f>'4. Calculations'!H61</f>
        <v>21160.256449004399</v>
      </c>
      <c r="I33" s="11">
        <f>'4. Calculations'!I61</f>
        <v>23001.826731078207</v>
      </c>
      <c r="J33" s="11">
        <f>'4. Calculations'!J61</f>
        <v>27414.413351928102</v>
      </c>
      <c r="K33" s="11">
        <f>'4. Calculations'!K61</f>
        <v>29235.042715057254</v>
      </c>
      <c r="L33" s="11">
        <f>'4. Calculations'!L61</f>
        <v>30849.237306010145</v>
      </c>
    </row>
    <row r="34" spans="3:12" x14ac:dyDescent="0.4">
      <c r="C34" s="64" t="s">
        <v>17</v>
      </c>
      <c r="D34" s="64"/>
      <c r="E34" s="64" t="s">
        <v>0</v>
      </c>
      <c r="F34" s="64"/>
      <c r="G34" s="65">
        <f t="shared" ref="G34:L34" si="7">G32-G33</f>
        <v>99803</v>
      </c>
      <c r="H34" s="65">
        <f t="shared" si="7"/>
        <v>109422.6463409319</v>
      </c>
      <c r="I34" s="65">
        <f t="shared" si="7"/>
        <v>118945.66389853877</v>
      </c>
      <c r="J34" s="65">
        <f t="shared" si="7"/>
        <v>141763.76661981764</v>
      </c>
      <c r="K34" s="65">
        <f t="shared" si="7"/>
        <v>151178.49575600305</v>
      </c>
      <c r="L34" s="65">
        <f t="shared" si="7"/>
        <v>159525.72180578913</v>
      </c>
    </row>
    <row r="35" spans="3:12" x14ac:dyDescent="0.4">
      <c r="C35" s="31" t="s">
        <v>79</v>
      </c>
      <c r="D35" s="33"/>
      <c r="E35" s="32"/>
      <c r="F35" s="33"/>
      <c r="G35" s="18">
        <f t="shared" ref="G35:L35" si="8">G34/G13</f>
        <v>0.25309640705199732</v>
      </c>
      <c r="H35" s="18">
        <f t="shared" si="8"/>
        <v>0.25745336486005588</v>
      </c>
      <c r="I35" s="18">
        <f t="shared" si="8"/>
        <v>0.26089647541341782</v>
      </c>
      <c r="J35" s="18">
        <f t="shared" si="8"/>
        <v>0.26224216786363563</v>
      </c>
      <c r="K35" s="18">
        <f t="shared" si="8"/>
        <v>0.26479183192362199</v>
      </c>
      <c r="L35" s="18">
        <f t="shared" si="8"/>
        <v>0.26610680689646626</v>
      </c>
    </row>
    <row r="36" spans="3:12" x14ac:dyDescent="0.4">
      <c r="E36" s="1" t="s">
        <v>0</v>
      </c>
      <c r="G36" s="11"/>
      <c r="H36" s="11"/>
      <c r="I36" s="11"/>
      <c r="J36" s="11"/>
      <c r="K36" s="11"/>
      <c r="L36" s="11"/>
    </row>
    <row r="37" spans="3:12" x14ac:dyDescent="0.4">
      <c r="C37" s="84" t="s">
        <v>180</v>
      </c>
      <c r="D37" s="85"/>
      <c r="E37" s="85"/>
      <c r="F37" s="85"/>
      <c r="G37" s="11"/>
      <c r="H37" s="85" t="b">
        <f>H34='4. Calculations'!H62</f>
        <v>1</v>
      </c>
      <c r="I37" s="85" t="b">
        <f>I34='4. Calculations'!I62</f>
        <v>1</v>
      </c>
      <c r="J37" s="85" t="b">
        <f>J34='4. Calculations'!J62</f>
        <v>1</v>
      </c>
      <c r="K37" s="85" t="b">
        <f>K34='4. Calculations'!K62</f>
        <v>1</v>
      </c>
      <c r="L37" s="85" t="b">
        <f>L34='4. Calculations'!L62</f>
        <v>1</v>
      </c>
    </row>
    <row r="38" spans="3:12" x14ac:dyDescent="0.4">
      <c r="E38" s="1"/>
      <c r="G38" s="11"/>
      <c r="H38" s="11"/>
      <c r="I38" s="11"/>
      <c r="J38" s="11"/>
      <c r="K38" s="11"/>
      <c r="L38" s="11"/>
    </row>
    <row r="39" spans="3:12" x14ac:dyDescent="0.4">
      <c r="C39" s="1" t="s">
        <v>18</v>
      </c>
      <c r="G39" s="11"/>
      <c r="H39" s="9"/>
      <c r="I39" s="9"/>
      <c r="J39" s="9"/>
      <c r="K39" s="9"/>
      <c r="L39" s="9"/>
    </row>
    <row r="40" spans="3:12" x14ac:dyDescent="0.4">
      <c r="C40" s="1" t="s">
        <v>19</v>
      </c>
      <c r="G40" s="12">
        <f t="shared" ref="G40:L40" si="9">G34/G44</f>
        <v>6.1546144376377772</v>
      </c>
      <c r="H40" s="12">
        <f t="shared" si="9"/>
        <v>7.0590869961390075</v>
      </c>
      <c r="I40" s="12">
        <f t="shared" si="9"/>
        <v>8.0444989547545038</v>
      </c>
      <c r="J40" s="12">
        <f t="shared" si="9"/>
        <v>10.074915741006329</v>
      </c>
      <c r="K40" s="12">
        <f t="shared" si="9"/>
        <v>11.319175993225127</v>
      </c>
      <c r="L40" s="12">
        <f t="shared" si="9"/>
        <v>12.619744382274446</v>
      </c>
    </row>
    <row r="41" spans="3:12" x14ac:dyDescent="0.4">
      <c r="C41" s="1" t="s">
        <v>20</v>
      </c>
      <c r="E41" s="1" t="s">
        <v>0</v>
      </c>
      <c r="G41" s="12">
        <f t="shared" ref="G41:L41" si="10">G34/G45</f>
        <v>6.1132002014722815</v>
      </c>
      <c r="H41" s="12">
        <f t="shared" si="10"/>
        <v>7.0094109950882073</v>
      </c>
      <c r="I41" s="12">
        <f t="shared" si="10"/>
        <v>7.9851711341644771</v>
      </c>
      <c r="J41" s="12">
        <f t="shared" si="10"/>
        <v>9.9968673614561787</v>
      </c>
      <c r="K41" s="12">
        <f t="shared" si="10"/>
        <v>11.226832601567201</v>
      </c>
      <c r="L41" s="12">
        <f t="shared" si="10"/>
        <v>12.511017669201417</v>
      </c>
    </row>
    <row r="42" spans="3:12" x14ac:dyDescent="0.4">
      <c r="E42" s="1" t="s">
        <v>0</v>
      </c>
      <c r="G42" s="16"/>
      <c r="H42" s="16"/>
      <c r="I42" s="16"/>
      <c r="J42" s="16"/>
      <c r="K42" s="16"/>
      <c r="L42" s="16"/>
    </row>
    <row r="43" spans="3:12" x14ac:dyDescent="0.4">
      <c r="C43" s="1" t="s">
        <v>21</v>
      </c>
      <c r="G43" s="16"/>
    </row>
    <row r="44" spans="3:12" x14ac:dyDescent="0.4">
      <c r="C44" s="1" t="s">
        <v>19</v>
      </c>
      <c r="E44" s="6" t="s">
        <v>0</v>
      </c>
      <c r="G44" s="11">
        <f>'3. Inputs'!G69</f>
        <v>16215.963</v>
      </c>
      <c r="H44" s="11">
        <f>'4. Calculations'!H72</f>
        <v>15500.963</v>
      </c>
      <c r="I44" s="11">
        <f>'4. Calculations'!I72</f>
        <v>14785.963</v>
      </c>
      <c r="J44" s="11">
        <f>'4. Calculations'!J72</f>
        <v>14070.963</v>
      </c>
      <c r="K44" s="11">
        <f>'4. Calculations'!K72</f>
        <v>13355.963</v>
      </c>
      <c r="L44" s="11">
        <f>'4. Calculations'!L72</f>
        <v>12640.963</v>
      </c>
    </row>
    <row r="45" spans="3:12" x14ac:dyDescent="0.4">
      <c r="C45" s="1" t="s">
        <v>20</v>
      </c>
      <c r="E45" s="1" t="s">
        <v>0</v>
      </c>
      <c r="G45" s="11">
        <f>'3. Inputs'!G70</f>
        <v>16325.819</v>
      </c>
      <c r="H45" s="11">
        <f>'4. Calculations'!H77</f>
        <v>15610.819</v>
      </c>
      <c r="I45" s="11">
        <f>'4. Calculations'!I77</f>
        <v>14895.819</v>
      </c>
      <c r="J45" s="11">
        <f>'4. Calculations'!J77</f>
        <v>14180.819</v>
      </c>
      <c r="K45" s="11">
        <f>'4. Calculations'!K77</f>
        <v>13465.819</v>
      </c>
      <c r="L45" s="11">
        <f>'4. Calculations'!L77</f>
        <v>12750.819</v>
      </c>
    </row>
    <row r="46" spans="3:12" x14ac:dyDescent="0.4">
      <c r="E46" s="1" t="s">
        <v>0</v>
      </c>
    </row>
    <row r="47" spans="3:12" x14ac:dyDescent="0.4">
      <c r="C47" s="4" t="s">
        <v>41</v>
      </c>
      <c r="E47" s="1"/>
    </row>
    <row r="48" spans="3:12" x14ac:dyDescent="0.4">
      <c r="C48" t="s">
        <v>17</v>
      </c>
      <c r="E48" s="1"/>
      <c r="G48" s="11">
        <f t="shared" ref="G48:L48" si="11">G34</f>
        <v>99803</v>
      </c>
      <c r="H48" s="11">
        <f t="shared" si="11"/>
        <v>109422.6463409319</v>
      </c>
      <c r="I48" s="11">
        <f t="shared" si="11"/>
        <v>118945.66389853877</v>
      </c>
      <c r="J48" s="11">
        <f t="shared" si="11"/>
        <v>141763.76661981764</v>
      </c>
      <c r="K48" s="11">
        <f t="shared" si="11"/>
        <v>151178.49575600305</v>
      </c>
      <c r="L48" s="11">
        <f t="shared" si="11"/>
        <v>159525.72180578913</v>
      </c>
    </row>
    <row r="49" spans="1:14" x14ac:dyDescent="0.4">
      <c r="C49" t="s">
        <v>149</v>
      </c>
      <c r="D49" t="s">
        <v>36</v>
      </c>
      <c r="E49" s="1"/>
      <c r="G49" s="96">
        <f>'3. Inputs'!G106</f>
        <v>11104</v>
      </c>
      <c r="H49" s="11">
        <f>-'4. Calculations'!H102</f>
        <v>9623.4</v>
      </c>
      <c r="I49" s="11">
        <f>-'4. Calculations'!I102</f>
        <v>10098.720000000001</v>
      </c>
      <c r="J49" s="11">
        <f>-'4. Calculations'!J102</f>
        <v>10478.976000000001</v>
      </c>
      <c r="K49" s="11">
        <f>-'4. Calculations'!K102</f>
        <v>10783.1808</v>
      </c>
      <c r="L49" s="11">
        <f>-'4. Calculations'!L102</f>
        <v>11026.54464</v>
      </c>
    </row>
    <row r="50" spans="1:14" x14ac:dyDescent="0.4">
      <c r="D50" t="s">
        <v>7</v>
      </c>
      <c r="E50" s="1"/>
      <c r="G50" s="11">
        <f t="shared" ref="G50:L50" si="12">-G31</f>
        <v>2931</v>
      </c>
      <c r="H50" s="11">
        <f t="shared" si="12"/>
        <v>3027.3924999999999</v>
      </c>
      <c r="I50" s="11">
        <f t="shared" si="12"/>
        <v>3027.3924999999999</v>
      </c>
      <c r="J50" s="11">
        <f t="shared" si="12"/>
        <v>3027.3924999999999</v>
      </c>
      <c r="K50" s="11">
        <f t="shared" si="12"/>
        <v>3027.3924999999999</v>
      </c>
      <c r="L50" s="11">
        <f t="shared" si="12"/>
        <v>3027.3924999999999</v>
      </c>
    </row>
    <row r="51" spans="1:14" x14ac:dyDescent="0.4">
      <c r="D51" t="s">
        <v>150</v>
      </c>
      <c r="E51" s="1"/>
      <c r="G51" s="11">
        <f t="shared" ref="G51:L51" si="13">G33</f>
        <v>19300</v>
      </c>
      <c r="H51" s="11">
        <f t="shared" si="13"/>
        <v>21160.256449004399</v>
      </c>
      <c r="I51" s="11">
        <f t="shared" si="13"/>
        <v>23001.826731078207</v>
      </c>
      <c r="J51" s="11">
        <f t="shared" si="13"/>
        <v>27414.413351928102</v>
      </c>
      <c r="K51" s="11">
        <f t="shared" si="13"/>
        <v>29235.042715057254</v>
      </c>
      <c r="L51" s="11">
        <f t="shared" si="13"/>
        <v>30849.237306010145</v>
      </c>
    </row>
    <row r="52" spans="1:14" x14ac:dyDescent="0.4">
      <c r="C52" t="s">
        <v>152</v>
      </c>
      <c r="D52" t="s">
        <v>153</v>
      </c>
      <c r="E52" s="1"/>
      <c r="G52" s="11">
        <f t="shared" ref="G52:L52" si="14">-G30</f>
        <v>-2825</v>
      </c>
      <c r="H52" s="11">
        <f t="shared" si="14"/>
        <v>-2909.26</v>
      </c>
      <c r="I52" s="11">
        <f t="shared" si="14"/>
        <v>-2909.26</v>
      </c>
      <c r="J52" s="11">
        <f t="shared" si="14"/>
        <v>-2909.26</v>
      </c>
      <c r="K52" s="11">
        <f t="shared" si="14"/>
        <v>-2909.26</v>
      </c>
      <c r="L52" s="11">
        <f t="shared" si="14"/>
        <v>-2909.26</v>
      </c>
    </row>
    <row r="53" spans="1:14" x14ac:dyDescent="0.4">
      <c r="C53" s="68"/>
      <c r="D53" s="68"/>
      <c r="E53" s="72"/>
      <c r="F53" s="68"/>
      <c r="G53" s="83">
        <f t="shared" ref="G53:L53" si="15">SUM(G48:G52)</f>
        <v>130313</v>
      </c>
      <c r="H53" s="83">
        <f t="shared" si="15"/>
        <v>140324.43528993629</v>
      </c>
      <c r="I53" s="83">
        <f t="shared" si="15"/>
        <v>152164.34312961696</v>
      </c>
      <c r="J53" s="83">
        <f t="shared" si="15"/>
        <v>179775.28847174573</v>
      </c>
      <c r="K53" s="83">
        <f t="shared" si="15"/>
        <v>191314.85177106029</v>
      </c>
      <c r="L53" s="83">
        <f t="shared" si="15"/>
        <v>201519.63625179927</v>
      </c>
    </row>
    <row r="54" spans="1:14" x14ac:dyDescent="0.4">
      <c r="C54" s="31" t="s">
        <v>77</v>
      </c>
      <c r="E54" s="1" t="s">
        <v>0</v>
      </c>
      <c r="G54" s="58" t="s">
        <v>131</v>
      </c>
      <c r="H54" s="18">
        <f>H53/G53-1</f>
        <v>7.6826067160884026E-2</v>
      </c>
      <c r="I54" s="18">
        <f>I53/H53-1</f>
        <v>8.4375239531284896E-2</v>
      </c>
      <c r="J54" s="18">
        <f>J53/I53-1</f>
        <v>0.18145476643374425</v>
      </c>
      <c r="K54" s="18">
        <f>K53/J53-1</f>
        <v>6.4188818148541937E-2</v>
      </c>
      <c r="L54" s="18">
        <f>L53/K53-1</f>
        <v>5.3340262850845921E-2</v>
      </c>
    </row>
    <row r="55" spans="1:14" x14ac:dyDescent="0.4">
      <c r="C55" s="31" t="s">
        <v>179</v>
      </c>
      <c r="E55" s="1"/>
      <c r="G55" s="18">
        <f t="shared" ref="G55:L55" si="16">G53/G13</f>
        <v>0.3304685439532572</v>
      </c>
      <c r="H55" s="18">
        <f t="shared" si="16"/>
        <v>0.33016015647180696</v>
      </c>
      <c r="I55" s="18">
        <f t="shared" si="16"/>
        <v>0.33375862141539303</v>
      </c>
      <c r="J55" s="18">
        <f t="shared" si="16"/>
        <v>0.33255790602385527</v>
      </c>
      <c r="K55" s="18">
        <f t="shared" si="16"/>
        <v>0.33509137540577544</v>
      </c>
      <c r="L55" s="18">
        <f t="shared" si="16"/>
        <v>0.33615736899901999</v>
      </c>
    </row>
    <row r="57" spans="1:14" s="86" customFormat="1" ht="12.6" thickBot="1" x14ac:dyDescent="0.45">
      <c r="A57" s="113"/>
      <c r="B57" s="114" t="s">
        <v>207</v>
      </c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</row>
    <row r="58" spans="1:14" ht="12.6" thickTop="1" x14ac:dyDescent="0.4"/>
    <row r="59" spans="1:14" x14ac:dyDescent="0.4">
      <c r="C59" s="1" t="s">
        <v>22</v>
      </c>
    </row>
    <row r="60" spans="1:14" x14ac:dyDescent="0.4">
      <c r="C60" s="62" t="s">
        <v>23</v>
      </c>
      <c r="G60" s="11">
        <f>'3. Inputs'!G111</f>
        <v>23646</v>
      </c>
      <c r="H60" s="11">
        <f>H106</f>
        <v>13388.926708502826</v>
      </c>
      <c r="I60" s="11">
        <f>I106</f>
        <v>13103.525273318635</v>
      </c>
      <c r="J60" s="11">
        <f>J106</f>
        <v>25436.867117297181</v>
      </c>
      <c r="K60" s="11">
        <f>K106</f>
        <v>58327.373789184159</v>
      </c>
      <c r="L60" s="11">
        <f>L106</f>
        <v>100497.57200240578</v>
      </c>
    </row>
    <row r="61" spans="1:14" x14ac:dyDescent="0.4">
      <c r="C61" s="62" t="s">
        <v>25</v>
      </c>
      <c r="G61" s="11">
        <f>'3. Inputs'!G112</f>
        <v>28184</v>
      </c>
      <c r="H61" s="11">
        <f>'4. Calculations'!H84</f>
        <v>30377.613736179017</v>
      </c>
      <c r="I61" s="11">
        <f>'4. Calculations'!I84</f>
        <v>32585.577091420335</v>
      </c>
      <c r="J61" s="11">
        <f>'4. Calculations'!J84</f>
        <v>38637.385536820351</v>
      </c>
      <c r="K61" s="11">
        <f>'4. Calculations'!K84</f>
        <v>40806.603636800843</v>
      </c>
      <c r="L61" s="11">
        <f>'4. Calculations'!L84</f>
        <v>42846.933818640886</v>
      </c>
    </row>
    <row r="62" spans="1:14" x14ac:dyDescent="0.4">
      <c r="C62" s="62" t="s">
        <v>26</v>
      </c>
      <c r="G62" s="11">
        <f>'3. Inputs'!G113</f>
        <v>4946</v>
      </c>
      <c r="H62" s="11">
        <f>'4. Calculations'!H89</f>
        <v>5242.76</v>
      </c>
      <c r="I62" s="11">
        <f>'4. Calculations'!I89</f>
        <v>5557.325600000001</v>
      </c>
      <c r="J62" s="11">
        <f>'4. Calculations'!J89</f>
        <v>6724.3639760000015</v>
      </c>
      <c r="K62" s="11">
        <f>'4. Calculations'!K89</f>
        <v>7060.5821748000008</v>
      </c>
      <c r="L62" s="11">
        <f>'4. Calculations'!L89</f>
        <v>7413.6112835400008</v>
      </c>
    </row>
    <row r="63" spans="1:14" x14ac:dyDescent="0.4">
      <c r="C63" s="62" t="s">
        <v>24</v>
      </c>
      <c r="G63" s="11">
        <f>'3. Inputs'!G114</f>
        <v>145463</v>
      </c>
      <c r="H63" s="11">
        <f>'4. Calculations'!H94</f>
        <v>145463</v>
      </c>
      <c r="I63" s="11">
        <f>'4. Calculations'!I94</f>
        <v>145463</v>
      </c>
      <c r="J63" s="11">
        <f>'4. Calculations'!J94</f>
        <v>145463</v>
      </c>
      <c r="K63" s="11">
        <f>'4. Calculations'!K94</f>
        <v>145463</v>
      </c>
      <c r="L63" s="11">
        <f>'4. Calculations'!L94</f>
        <v>145463</v>
      </c>
    </row>
    <row r="64" spans="1:14" x14ac:dyDescent="0.4">
      <c r="C64" s="62" t="s">
        <v>27</v>
      </c>
      <c r="G64" s="11">
        <f>'3. Inputs'!G115</f>
        <v>42117</v>
      </c>
      <c r="H64" s="11">
        <f>'4. Calculations'!H103</f>
        <v>44493.599999999999</v>
      </c>
      <c r="I64" s="11">
        <f>'4. Calculations'!I103</f>
        <v>46394.879999999997</v>
      </c>
      <c r="J64" s="11">
        <f>'4. Calculations'!J103</f>
        <v>47915.903999999995</v>
      </c>
      <c r="K64" s="11">
        <f>'4. Calculations'!K103</f>
        <v>49132.723199999993</v>
      </c>
      <c r="L64" s="11">
        <f>'4. Calculations'!L103</f>
        <v>50106.178559999993</v>
      </c>
    </row>
    <row r="65" spans="1:14" x14ac:dyDescent="0.4">
      <c r="C65" s="62" t="s">
        <v>87</v>
      </c>
      <c r="G65" s="11">
        <f>'3. Inputs'!G116</f>
        <v>108399</v>
      </c>
      <c r="H65" s="11">
        <f>'4. Calculations'!H108</f>
        <v>116835.89807649978</v>
      </c>
      <c r="I65" s="11">
        <f>'4. Calculations'!I108</f>
        <v>125327.98648640624</v>
      </c>
      <c r="J65" s="11">
        <f>'4. Calculations'!J108</f>
        <v>148603.95808990172</v>
      </c>
      <c r="K65" s="11">
        <f>'4. Calculations'!K108</f>
        <v>156947.02766199174</v>
      </c>
      <c r="L65" s="11">
        <f>'4. Calculations'!L108</f>
        <v>164794.37904509134</v>
      </c>
    </row>
    <row r="66" spans="1:14" x14ac:dyDescent="0.4">
      <c r="C66" s="64" t="s">
        <v>28</v>
      </c>
      <c r="D66" s="64"/>
      <c r="E66" s="64"/>
      <c r="F66" s="64"/>
      <c r="G66" s="65">
        <f t="shared" ref="G66:L66" si="17">SUM(G60:G65)</f>
        <v>352755</v>
      </c>
      <c r="H66" s="65">
        <f t="shared" si="17"/>
        <v>355801.79852118163</v>
      </c>
      <c r="I66" s="65">
        <f t="shared" si="17"/>
        <v>368432.29445114522</v>
      </c>
      <c r="J66" s="65">
        <f t="shared" si="17"/>
        <v>412781.47872001922</v>
      </c>
      <c r="K66" s="65">
        <f t="shared" si="17"/>
        <v>457737.3104627768</v>
      </c>
      <c r="L66" s="65">
        <f t="shared" si="17"/>
        <v>511121.67470967799</v>
      </c>
    </row>
    <row r="67" spans="1:14" x14ac:dyDescent="0.4">
      <c r="G67" s="11"/>
      <c r="H67" s="11"/>
      <c r="I67" s="11"/>
      <c r="J67" s="11"/>
      <c r="K67" s="11"/>
      <c r="L67" s="11"/>
    </row>
    <row r="68" spans="1:14" x14ac:dyDescent="0.4">
      <c r="C68" s="1" t="s">
        <v>29</v>
      </c>
      <c r="G68" s="11"/>
      <c r="H68" s="11"/>
      <c r="I68" s="11"/>
      <c r="J68" s="11"/>
      <c r="K68" s="11"/>
      <c r="L68" s="11"/>
    </row>
    <row r="69" spans="1:14" x14ac:dyDescent="0.4">
      <c r="C69" s="62" t="s">
        <v>30</v>
      </c>
      <c r="G69" s="11">
        <f>'3. Inputs'!G120</f>
        <v>64115</v>
      </c>
      <c r="H69" s="11">
        <f>'4. Calculations'!H113</f>
        <v>68592.993880249735</v>
      </c>
      <c r="I69" s="11">
        <f>'4. Calculations'!I113</f>
        <v>73147.54013667455</v>
      </c>
      <c r="J69" s="11">
        <f>'4. Calculations'!J113</f>
        <v>86545.046395105979</v>
      </c>
      <c r="K69" s="11">
        <f>'4. Calculations'!K113</f>
        <v>91003.29728146983</v>
      </c>
      <c r="L69" s="11">
        <f>'4. Calculations'!L113</f>
        <v>95338.081615931587</v>
      </c>
    </row>
    <row r="70" spans="1:14" x14ac:dyDescent="0.4">
      <c r="C70" s="63" t="s">
        <v>187</v>
      </c>
      <c r="G70" s="11">
        <f>'3. Inputs'!G121</f>
        <v>127881</v>
      </c>
      <c r="H70" s="11">
        <f>'4. Calculations'!H118</f>
        <v>131078.02499999999</v>
      </c>
      <c r="I70" s="11">
        <f>'4. Calculations'!I118</f>
        <v>134354.97562499999</v>
      </c>
      <c r="J70" s="11">
        <f>'4. Calculations'!J118</f>
        <v>137713.85001562498</v>
      </c>
      <c r="K70" s="11">
        <f>'4. Calculations'!K118</f>
        <v>141156.69626601558</v>
      </c>
      <c r="L70" s="11">
        <f>'4. Calculations'!L118</f>
        <v>144685.61367266596</v>
      </c>
    </row>
    <row r="71" spans="1:14" x14ac:dyDescent="0.4">
      <c r="C71" s="62" t="s">
        <v>31</v>
      </c>
      <c r="G71" s="11">
        <f>'3. Inputs'!G122</f>
        <v>110087</v>
      </c>
      <c r="H71" s="11">
        <f>'4. Calculations'!H123</f>
        <v>110087</v>
      </c>
      <c r="I71" s="11">
        <f>'4. Calculations'!I123</f>
        <v>110087</v>
      </c>
      <c r="J71" s="11">
        <f>'4. Calculations'!J123</f>
        <v>110087</v>
      </c>
      <c r="K71" s="11">
        <f>'4. Calculations'!K123</f>
        <v>110087</v>
      </c>
      <c r="L71" s="11">
        <f>'4. Calculations'!L123</f>
        <v>110087</v>
      </c>
    </row>
    <row r="72" spans="1:14" x14ac:dyDescent="0.4">
      <c r="C72" s="27" t="s">
        <v>32</v>
      </c>
      <c r="D72" s="15"/>
      <c r="E72" s="15"/>
      <c r="F72" s="15"/>
      <c r="G72" s="28">
        <f t="shared" ref="G72:L72" si="18">SUM(G69:G71)</f>
        <v>302083</v>
      </c>
      <c r="H72" s="28">
        <f t="shared" si="18"/>
        <v>309758.0188802497</v>
      </c>
      <c r="I72" s="28">
        <f t="shared" si="18"/>
        <v>317589.51576167456</v>
      </c>
      <c r="J72" s="28">
        <f t="shared" si="18"/>
        <v>334345.89641073096</v>
      </c>
      <c r="K72" s="28">
        <f t="shared" si="18"/>
        <v>342246.99354748544</v>
      </c>
      <c r="L72" s="28">
        <f t="shared" si="18"/>
        <v>350110.69528859755</v>
      </c>
    </row>
    <row r="73" spans="1:14" x14ac:dyDescent="0.4">
      <c r="G73" s="11"/>
      <c r="H73" s="11"/>
      <c r="I73" s="11"/>
      <c r="J73" s="11"/>
      <c r="K73" s="11"/>
      <c r="L73" s="11"/>
    </row>
    <row r="74" spans="1:14" x14ac:dyDescent="0.4">
      <c r="C74" s="62" t="s">
        <v>33</v>
      </c>
      <c r="G74" s="11">
        <f>'3. Inputs'!G125</f>
        <v>50672</v>
      </c>
      <c r="H74" s="11">
        <f>'4. Calculations'!H134</f>
        <v>46043.779640931883</v>
      </c>
      <c r="I74" s="11">
        <f>'4. Calculations'!I134</f>
        <v>50842.778689470666</v>
      </c>
      <c r="J74" s="11">
        <f>'4. Calculations'!J134</f>
        <v>78435.582309288307</v>
      </c>
      <c r="K74" s="11">
        <f>'4. Calculations'!K134</f>
        <v>115490.31691529133</v>
      </c>
      <c r="L74" s="11">
        <f>'4. Calculations'!L134</f>
        <v>161010.97942108047</v>
      </c>
    </row>
    <row r="75" spans="1:14" x14ac:dyDescent="0.4">
      <c r="C75" s="64" t="s">
        <v>34</v>
      </c>
      <c r="D75" s="64"/>
      <c r="E75" s="64"/>
      <c r="F75" s="64"/>
      <c r="G75" s="65">
        <f t="shared" ref="G75:L75" si="19">SUM(G72:G74)</f>
        <v>352755</v>
      </c>
      <c r="H75" s="65">
        <f t="shared" si="19"/>
        <v>355801.79852118157</v>
      </c>
      <c r="I75" s="65">
        <f t="shared" si="19"/>
        <v>368432.29445114522</v>
      </c>
      <c r="J75" s="65">
        <f t="shared" si="19"/>
        <v>412781.47872001928</v>
      </c>
      <c r="K75" s="65">
        <f t="shared" si="19"/>
        <v>457737.3104627768</v>
      </c>
      <c r="L75" s="65">
        <f t="shared" si="19"/>
        <v>511121.67470967805</v>
      </c>
    </row>
    <row r="77" spans="1:14" x14ac:dyDescent="0.4">
      <c r="C77" s="84" t="s">
        <v>158</v>
      </c>
      <c r="D77" s="85"/>
      <c r="E77" s="85"/>
      <c r="F77" s="85"/>
      <c r="G77" s="85" t="b">
        <f t="shared" ref="G77:L77" si="20">G66=G75</f>
        <v>1</v>
      </c>
      <c r="H77" s="85" t="b">
        <f t="shared" si="20"/>
        <v>1</v>
      </c>
      <c r="I77" s="85" t="b">
        <f t="shared" si="20"/>
        <v>1</v>
      </c>
      <c r="J77" s="85" t="b">
        <f t="shared" si="20"/>
        <v>1</v>
      </c>
      <c r="K77" s="85" t="b">
        <f t="shared" si="20"/>
        <v>1</v>
      </c>
      <c r="L77" s="85" t="b">
        <f t="shared" si="20"/>
        <v>1</v>
      </c>
    </row>
    <row r="79" spans="1:14" s="86" customFormat="1" ht="12.6" thickBot="1" x14ac:dyDescent="0.45">
      <c r="A79" s="113"/>
      <c r="B79" s="114" t="s">
        <v>208</v>
      </c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</row>
    <row r="80" spans="1:14" ht="12.6" thickTop="1" x14ac:dyDescent="0.4"/>
    <row r="81" spans="3:13" x14ac:dyDescent="0.4">
      <c r="C81" s="4" t="s">
        <v>37</v>
      </c>
      <c r="H81" s="11"/>
      <c r="I81" s="11"/>
      <c r="J81" s="11"/>
      <c r="K81" s="11"/>
      <c r="L81" s="11"/>
    </row>
    <row r="82" spans="3:13" x14ac:dyDescent="0.4">
      <c r="C82" s="1" t="s">
        <v>17</v>
      </c>
      <c r="H82" s="11">
        <f>H34</f>
        <v>109422.6463409319</v>
      </c>
      <c r="I82" s="11">
        <f>I34</f>
        <v>118945.66389853877</v>
      </c>
      <c r="J82" s="11">
        <f>J34</f>
        <v>141763.76661981764</v>
      </c>
      <c r="K82" s="11">
        <f>K34</f>
        <v>151178.49575600305</v>
      </c>
      <c r="L82" s="11">
        <f>L34</f>
        <v>159525.72180578913</v>
      </c>
    </row>
    <row r="83" spans="3:13" x14ac:dyDescent="0.4">
      <c r="C83" s="1" t="s">
        <v>122</v>
      </c>
      <c r="H83" s="11">
        <f>-'4. Calculations'!H102</f>
        <v>9623.4</v>
      </c>
      <c r="I83" s="11">
        <f>-'4. Calculations'!I102</f>
        <v>10098.720000000001</v>
      </c>
      <c r="J83" s="11">
        <f>-'4. Calculations'!J102</f>
        <v>10478.976000000001</v>
      </c>
      <c r="K83" s="11">
        <f>-'4. Calculations'!K102</f>
        <v>10783.1808</v>
      </c>
      <c r="L83" s="11">
        <f>-'4. Calculations'!L102</f>
        <v>11026.54464</v>
      </c>
    </row>
    <row r="84" spans="3:13" x14ac:dyDescent="0.4">
      <c r="C84" s="34" t="s">
        <v>123</v>
      </c>
      <c r="H84" s="11"/>
      <c r="I84" s="11"/>
      <c r="J84" s="11"/>
      <c r="K84" s="11"/>
      <c r="L84" s="11"/>
    </row>
    <row r="85" spans="3:13" x14ac:dyDescent="0.4">
      <c r="C85" s="1"/>
      <c r="D85" t="s">
        <v>134</v>
      </c>
      <c r="H85" s="11">
        <f t="shared" ref="H85:L86" si="21">G61-H61</f>
        <v>-2193.613736179017</v>
      </c>
      <c r="I85" s="11">
        <f t="shared" si="21"/>
        <v>-2207.9633552413179</v>
      </c>
      <c r="J85" s="11">
        <f t="shared" si="21"/>
        <v>-6051.8084454000164</v>
      </c>
      <c r="K85" s="11">
        <f t="shared" si="21"/>
        <v>-2169.2180999804914</v>
      </c>
      <c r="L85" s="11">
        <f t="shared" si="21"/>
        <v>-2040.3301818400432</v>
      </c>
    </row>
    <row r="86" spans="3:13" x14ac:dyDescent="0.4">
      <c r="C86" s="1"/>
      <c r="D86" t="s">
        <v>135</v>
      </c>
      <c r="H86" s="11">
        <f t="shared" si="21"/>
        <v>-296.76000000000022</v>
      </c>
      <c r="I86" s="11">
        <f t="shared" si="21"/>
        <v>-314.56560000000081</v>
      </c>
      <c r="J86" s="11">
        <f t="shared" si="21"/>
        <v>-1167.0383760000004</v>
      </c>
      <c r="K86" s="11">
        <f t="shared" si="21"/>
        <v>-336.2181987999993</v>
      </c>
      <c r="L86" s="11">
        <f t="shared" si="21"/>
        <v>-353.02910874000008</v>
      </c>
      <c r="M86" s="11"/>
    </row>
    <row r="87" spans="3:13" x14ac:dyDescent="0.4">
      <c r="C87" s="1"/>
      <c r="D87" t="s">
        <v>161</v>
      </c>
      <c r="H87" s="11">
        <f>G65-H65</f>
        <v>-8436.8980764997832</v>
      </c>
      <c r="I87" s="11">
        <f>H65-I65</f>
        <v>-8492.0884099064569</v>
      </c>
      <c r="J87" s="11">
        <f>I65-J65</f>
        <v>-23275.971603495476</v>
      </c>
      <c r="K87" s="11">
        <f>J65-K65</f>
        <v>-8343.0695720900258</v>
      </c>
      <c r="L87" s="11">
        <f>K65-L65</f>
        <v>-7847.3513830995944</v>
      </c>
      <c r="M87" s="11"/>
    </row>
    <row r="88" spans="3:13" x14ac:dyDescent="0.4">
      <c r="C88" s="1"/>
      <c r="D88" t="s">
        <v>136</v>
      </c>
      <c r="H88" s="11">
        <f t="shared" ref="H88:L89" si="22">H69-G69</f>
        <v>4477.9938802497345</v>
      </c>
      <c r="I88" s="11">
        <f t="shared" si="22"/>
        <v>4554.5462564248155</v>
      </c>
      <c r="J88" s="11">
        <f t="shared" si="22"/>
        <v>13397.506258431429</v>
      </c>
      <c r="K88" s="11">
        <f t="shared" si="22"/>
        <v>4458.2508863638504</v>
      </c>
      <c r="L88" s="11">
        <f t="shared" si="22"/>
        <v>4334.7843344617577</v>
      </c>
      <c r="M88" s="11"/>
    </row>
    <row r="89" spans="3:13" x14ac:dyDescent="0.4">
      <c r="C89" s="1"/>
      <c r="D89" t="s">
        <v>162</v>
      </c>
      <c r="H89" s="11">
        <f t="shared" si="22"/>
        <v>3197.0249999999942</v>
      </c>
      <c r="I89" s="11">
        <f t="shared" si="22"/>
        <v>3276.9506249999977</v>
      </c>
      <c r="J89" s="11">
        <f t="shared" si="22"/>
        <v>3358.8743906249874</v>
      </c>
      <c r="K89" s="11">
        <f t="shared" si="22"/>
        <v>3442.8462503906048</v>
      </c>
      <c r="L89" s="11">
        <f t="shared" si="22"/>
        <v>3528.9174066503765</v>
      </c>
      <c r="M89" s="11"/>
    </row>
    <row r="90" spans="3:13" x14ac:dyDescent="0.4">
      <c r="C90" s="27" t="s">
        <v>121</v>
      </c>
      <c r="D90" s="15"/>
      <c r="E90" s="15"/>
      <c r="F90" s="15"/>
      <c r="G90" s="15"/>
      <c r="H90" s="28">
        <f>SUM(H82:H89)</f>
        <v>115793.79340850282</v>
      </c>
      <c r="I90" s="28">
        <f>SUM(I82:I89)</f>
        <v>125861.26341481581</v>
      </c>
      <c r="J90" s="28">
        <f>SUM(J82:J89)</f>
        <v>138504.30484397855</v>
      </c>
      <c r="K90" s="28">
        <f>SUM(K82:K89)</f>
        <v>159014.26782188698</v>
      </c>
      <c r="L90" s="28">
        <f>SUM(L82:L89)</f>
        <v>168175.25751322162</v>
      </c>
      <c r="M90" s="11"/>
    </row>
    <row r="91" spans="3:13" x14ac:dyDescent="0.4">
      <c r="C91" s="1"/>
      <c r="H91" s="11"/>
      <c r="I91" s="11"/>
      <c r="J91" s="11"/>
      <c r="K91" s="11"/>
      <c r="L91" s="11"/>
      <c r="M91" s="11"/>
    </row>
    <row r="92" spans="3:13" x14ac:dyDescent="0.4">
      <c r="C92" s="4" t="s">
        <v>81</v>
      </c>
      <c r="H92" s="11"/>
      <c r="I92" s="11"/>
      <c r="J92" s="11"/>
      <c r="K92" s="11"/>
      <c r="L92" s="11"/>
      <c r="M92" s="11"/>
    </row>
    <row r="93" spans="3:13" x14ac:dyDescent="0.4">
      <c r="C93" s="1" t="s">
        <v>115</v>
      </c>
      <c r="H93" s="11">
        <f>-'4. Calculations'!H101</f>
        <v>-12000</v>
      </c>
      <c r="I93" s="11">
        <f>-'4. Calculations'!I101</f>
        <v>-12000</v>
      </c>
      <c r="J93" s="11">
        <f>-'4. Calculations'!J101</f>
        <v>-12000</v>
      </c>
      <c r="K93" s="11">
        <f>-'4. Calculations'!K101</f>
        <v>-12000</v>
      </c>
      <c r="L93" s="11">
        <f>-'4. Calculations'!L101</f>
        <v>-12000</v>
      </c>
      <c r="M93" s="11"/>
    </row>
    <row r="94" spans="3:13" x14ac:dyDescent="0.4">
      <c r="C94" s="34" t="s">
        <v>116</v>
      </c>
      <c r="H94" s="11">
        <f>-'4. Calculations'!H93</f>
        <v>0</v>
      </c>
      <c r="I94" s="11">
        <f>-'4. Calculations'!I93</f>
        <v>0</v>
      </c>
      <c r="J94" s="11">
        <f>-'4. Calculations'!J93</f>
        <v>0</v>
      </c>
      <c r="K94" s="11">
        <f>-'4. Calculations'!K93</f>
        <v>0</v>
      </c>
      <c r="L94" s="11">
        <f>-'4. Calculations'!L93</f>
        <v>0</v>
      </c>
      <c r="M94" s="11"/>
    </row>
    <row r="95" spans="3:13" x14ac:dyDescent="0.4">
      <c r="C95" s="27" t="s">
        <v>120</v>
      </c>
      <c r="D95" s="15"/>
      <c r="E95" s="15"/>
      <c r="F95" s="15"/>
      <c r="G95" s="15"/>
      <c r="H95" s="28">
        <f>SUM(H93:H94)</f>
        <v>-12000</v>
      </c>
      <c r="I95" s="28">
        <f>SUM(I93:I94)</f>
        <v>-12000</v>
      </c>
      <c r="J95" s="28">
        <f>SUM(J93:J94)</f>
        <v>-12000</v>
      </c>
      <c r="K95" s="28">
        <f>SUM(K93:K94)</f>
        <v>-12000</v>
      </c>
      <c r="L95" s="28">
        <f>SUM(L93:L94)</f>
        <v>-12000</v>
      </c>
      <c r="M95" s="11"/>
    </row>
    <row r="96" spans="3:13" x14ac:dyDescent="0.4">
      <c r="H96" s="11"/>
      <c r="I96" s="11"/>
      <c r="J96" s="11"/>
      <c r="K96" s="11"/>
      <c r="L96" s="11"/>
      <c r="M96" s="11"/>
    </row>
    <row r="97" spans="1:14" x14ac:dyDescent="0.4">
      <c r="C97" s="4" t="s">
        <v>82</v>
      </c>
      <c r="H97" s="11"/>
      <c r="I97" s="11"/>
      <c r="J97" s="11"/>
      <c r="K97" s="11"/>
      <c r="L97" s="11"/>
      <c r="M97" s="11"/>
    </row>
    <row r="98" spans="1:14" x14ac:dyDescent="0.4">
      <c r="C98" s="34" t="s">
        <v>117</v>
      </c>
      <c r="H98" s="11">
        <f>'4. Calculations'!H122</f>
        <v>0</v>
      </c>
      <c r="I98" s="11">
        <f>'4. Calculations'!I122</f>
        <v>0</v>
      </c>
      <c r="J98" s="11">
        <f>'4. Calculations'!J122</f>
        <v>0</v>
      </c>
      <c r="K98" s="11">
        <f>'4. Calculations'!K122</f>
        <v>0</v>
      </c>
      <c r="L98" s="11">
        <f>'4. Calculations'!L122</f>
        <v>0</v>
      </c>
      <c r="M98" s="11"/>
    </row>
    <row r="99" spans="1:14" x14ac:dyDescent="0.4">
      <c r="C99" s="34" t="s">
        <v>96</v>
      </c>
      <c r="H99" s="11">
        <f>'4. Calculations'!H131</f>
        <v>0</v>
      </c>
      <c r="I99" s="11">
        <f>'4. Calculations'!I131</f>
        <v>0</v>
      </c>
      <c r="J99" s="11">
        <f>'4. Calculations'!J131</f>
        <v>0</v>
      </c>
      <c r="K99" s="11">
        <f>'4. Calculations'!K131</f>
        <v>0</v>
      </c>
      <c r="L99" s="11">
        <f>'4. Calculations'!L131</f>
        <v>0</v>
      </c>
      <c r="M99" s="11"/>
    </row>
    <row r="100" spans="1:14" x14ac:dyDescent="0.4">
      <c r="C100" s="34" t="s">
        <v>141</v>
      </c>
      <c r="H100" s="11">
        <f>'4. Calculations'!H132</f>
        <v>-100100</v>
      </c>
      <c r="I100" s="11">
        <f>'4. Calculations'!I132</f>
        <v>-100100</v>
      </c>
      <c r="J100" s="11">
        <f>'4. Calculations'!J132</f>
        <v>-100100</v>
      </c>
      <c r="K100" s="11">
        <f>'4. Calculations'!K132</f>
        <v>-100100</v>
      </c>
      <c r="L100" s="11">
        <f>'4. Calculations'!L132</f>
        <v>-100100</v>
      </c>
      <c r="M100" s="11"/>
    </row>
    <row r="101" spans="1:14" x14ac:dyDescent="0.4">
      <c r="C101" s="34" t="s">
        <v>118</v>
      </c>
      <c r="H101" s="11">
        <f>'4. Calculations'!H133</f>
        <v>-13950.8667</v>
      </c>
      <c r="I101" s="11">
        <f>'4. Calculations'!I133</f>
        <v>-14046.664849999999</v>
      </c>
      <c r="J101" s="11">
        <f>'4. Calculations'!J133</f>
        <v>-14070.963</v>
      </c>
      <c r="K101" s="11">
        <f>'4. Calculations'!K133</f>
        <v>-14023.76115</v>
      </c>
      <c r="L101" s="11">
        <f>'4. Calculations'!L133</f>
        <v>-13905.059300000001</v>
      </c>
      <c r="M101" s="11"/>
    </row>
    <row r="102" spans="1:14" x14ac:dyDescent="0.4">
      <c r="C102" s="38" t="s">
        <v>119</v>
      </c>
      <c r="D102" s="15"/>
      <c r="E102" s="15"/>
      <c r="F102" s="15"/>
      <c r="G102" s="15"/>
      <c r="H102" s="28">
        <f>SUM(H98:H101)</f>
        <v>-114050.8667</v>
      </c>
      <c r="I102" s="28">
        <f>SUM(I98:I101)</f>
        <v>-114146.66485</v>
      </c>
      <c r="J102" s="28">
        <f>SUM(J98:J101)</f>
        <v>-114170.963</v>
      </c>
      <c r="K102" s="28">
        <f>SUM(K98:K101)</f>
        <v>-114123.76115000001</v>
      </c>
      <c r="L102" s="28">
        <f>SUM(L98:L101)</f>
        <v>-114005.05929999999</v>
      </c>
      <c r="M102" s="11"/>
    </row>
    <row r="103" spans="1:14" x14ac:dyDescent="0.4">
      <c r="C103" s="1"/>
      <c r="H103" s="11"/>
      <c r="I103" s="11"/>
      <c r="J103" s="11"/>
      <c r="K103" s="11"/>
      <c r="L103" s="11"/>
      <c r="M103" s="11"/>
    </row>
    <row r="104" spans="1:14" x14ac:dyDescent="0.4">
      <c r="C104" s="1" t="s">
        <v>83</v>
      </c>
      <c r="H104" s="11">
        <f>SUM(H90,H95,H102)</f>
        <v>-10257.073291497174</v>
      </c>
      <c r="I104" s="11">
        <f>SUM(I90,I95,I102)</f>
        <v>-285.40143518419063</v>
      </c>
      <c r="J104" s="11">
        <f>SUM(J90,J95,J102)</f>
        <v>12333.341843978546</v>
      </c>
      <c r="K104" s="11">
        <f>SUM(K90,K95,K102)</f>
        <v>32890.506671886978</v>
      </c>
      <c r="L104" s="11">
        <f>SUM(L90,L95,L102)</f>
        <v>42170.198213221622</v>
      </c>
      <c r="M104" s="11"/>
    </row>
    <row r="105" spans="1:14" x14ac:dyDescent="0.4">
      <c r="C105" s="1" t="s">
        <v>84</v>
      </c>
      <c r="H105" s="11">
        <f>G106</f>
        <v>23646</v>
      </c>
      <c r="I105" s="11">
        <f>H106</f>
        <v>13388.926708502826</v>
      </c>
      <c r="J105" s="11">
        <f>I106</f>
        <v>13103.525273318635</v>
      </c>
      <c r="K105" s="11">
        <f>J106</f>
        <v>25436.867117297181</v>
      </c>
      <c r="L105" s="11">
        <f>K106</f>
        <v>58327.373789184159</v>
      </c>
      <c r="M105" s="11"/>
    </row>
    <row r="106" spans="1:14" x14ac:dyDescent="0.4">
      <c r="C106" s="29" t="s">
        <v>85</v>
      </c>
      <c r="D106" s="10"/>
      <c r="E106" s="10"/>
      <c r="F106" s="10"/>
      <c r="G106" s="39">
        <f>G60</f>
        <v>23646</v>
      </c>
      <c r="H106" s="30">
        <f>H104+H105</f>
        <v>13388.926708502826</v>
      </c>
      <c r="I106" s="30">
        <f>I104+I105</f>
        <v>13103.525273318635</v>
      </c>
      <c r="J106" s="30">
        <f>J104+J105</f>
        <v>25436.867117297181</v>
      </c>
      <c r="K106" s="30">
        <f>K104+K105</f>
        <v>58327.373789184159</v>
      </c>
      <c r="L106" s="30">
        <f>L104+L105</f>
        <v>100497.57200240578</v>
      </c>
      <c r="M106" s="11"/>
    </row>
    <row r="107" spans="1:14" x14ac:dyDescent="0.4">
      <c r="C107" s="1"/>
      <c r="H107" s="11"/>
      <c r="I107" s="11"/>
      <c r="J107" s="11"/>
      <c r="K107" s="11"/>
      <c r="L107" s="11"/>
      <c r="M107" s="11"/>
    </row>
    <row r="108" spans="1:14" x14ac:dyDescent="0.4">
      <c r="C108" s="84" t="s">
        <v>159</v>
      </c>
      <c r="D108" s="85"/>
      <c r="E108" s="85"/>
      <c r="F108" s="85"/>
      <c r="G108" s="85" t="b">
        <f t="shared" ref="G108:L108" si="23">G106=G60</f>
        <v>1</v>
      </c>
      <c r="H108" s="85" t="b">
        <f t="shared" si="23"/>
        <v>1</v>
      </c>
      <c r="I108" s="85" t="b">
        <f t="shared" si="23"/>
        <v>1</v>
      </c>
      <c r="J108" s="85" t="b">
        <f t="shared" si="23"/>
        <v>1</v>
      </c>
      <c r="K108" s="85" t="b">
        <f t="shared" si="23"/>
        <v>1</v>
      </c>
      <c r="L108" s="85" t="b">
        <f t="shared" si="23"/>
        <v>1</v>
      </c>
      <c r="M108" s="11"/>
    </row>
    <row r="110" spans="1:14" s="86" customFormat="1" ht="12.6" thickBot="1" x14ac:dyDescent="0.45">
      <c r="A110" s="113"/>
      <c r="B110" s="114" t="s">
        <v>40</v>
      </c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</row>
    <row r="111" spans="1:14" ht="12.6" thickTop="1" x14ac:dyDescent="0.4"/>
  </sheetData>
  <conditionalFormatting sqref="G77:L77">
    <cfRule type="cellIs" dxfId="5" priority="5" stopIfTrue="1" operator="equal">
      <formula>FALSE</formula>
    </cfRule>
    <cfRule type="cellIs" dxfId="4" priority="6" stopIfTrue="1" operator="equal">
      <formula>TRUE</formula>
    </cfRule>
  </conditionalFormatting>
  <conditionalFormatting sqref="G108:L108">
    <cfRule type="cellIs" dxfId="3" priority="3" stopIfTrue="1" operator="equal">
      <formula>FALSE</formula>
    </cfRule>
    <cfRule type="cellIs" dxfId="2" priority="4" stopIfTrue="1" operator="equal">
      <formula>TRUE</formula>
    </cfRule>
  </conditionalFormatting>
  <conditionalFormatting sqref="H37:L37">
    <cfRule type="cellIs" dxfId="1" priority="1" stopIfTrue="1" operator="equal">
      <formula>FALSE</formula>
    </cfRule>
    <cfRule type="cellIs" dxfId="0" priority="2" stopIfTrue="1" operator="equal">
      <formula>TRUE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5"/>
  </sheetPr>
  <dimension ref="A2:IV129"/>
  <sheetViews>
    <sheetView showGridLines="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G56" sqref="G56"/>
    </sheetView>
  </sheetViews>
  <sheetFormatPr defaultColWidth="0" defaultRowHeight="12.3" x14ac:dyDescent="0.4"/>
  <cols>
    <col min="1" max="1" width="2.77734375" customWidth="1"/>
    <col min="2" max="2" width="6" customWidth="1"/>
    <col min="3" max="3" width="40.83203125" customWidth="1"/>
    <col min="4" max="4" width="9.1640625" customWidth="1"/>
    <col min="5" max="5" width="2.21875" customWidth="1"/>
    <col min="6" max="6" width="8.21875" customWidth="1"/>
    <col min="7" max="12" width="13.609375" bestFit="1" customWidth="1"/>
    <col min="13" max="13" width="14" bestFit="1" customWidth="1"/>
    <col min="14" max="14" width="9.1640625" customWidth="1"/>
  </cols>
  <sheetData>
    <row r="2" spans="2:14" x14ac:dyDescent="0.4">
      <c r="B2" s="4" t="s">
        <v>178</v>
      </c>
      <c r="M2" s="109"/>
    </row>
    <row r="3" spans="2:14" x14ac:dyDescent="0.4">
      <c r="B3" s="4" t="s">
        <v>39</v>
      </c>
    </row>
    <row r="4" spans="2:14" x14ac:dyDescent="0.4">
      <c r="B4" s="5" t="str">
        <f>model_date</f>
        <v>October 31, 2022</v>
      </c>
      <c r="G4" s="25" t="str">
        <f t="shared" ref="G4:L5" si="0">G11</f>
        <v>Actual</v>
      </c>
      <c r="H4" s="25" t="str">
        <f t="shared" si="0"/>
        <v>Forecast</v>
      </c>
      <c r="I4" s="25" t="str">
        <f t="shared" si="0"/>
        <v>Forecast</v>
      </c>
      <c r="J4" s="25" t="str">
        <f t="shared" si="0"/>
        <v>Forecast</v>
      </c>
      <c r="K4" s="25" t="str">
        <f t="shared" si="0"/>
        <v>Forecast</v>
      </c>
      <c r="L4" s="25" t="str">
        <f t="shared" si="0"/>
        <v>Forecast</v>
      </c>
    </row>
    <row r="5" spans="2:14" x14ac:dyDescent="0.4">
      <c r="B5" s="4" t="s">
        <v>35</v>
      </c>
      <c r="D5" s="25" t="s">
        <v>66</v>
      </c>
      <c r="G5" s="7">
        <f t="shared" si="0"/>
        <v>2022</v>
      </c>
      <c r="H5" s="7">
        <f t="shared" si="0"/>
        <v>2023</v>
      </c>
      <c r="I5" s="7">
        <f t="shared" si="0"/>
        <v>2024</v>
      </c>
      <c r="J5" s="7">
        <f t="shared" si="0"/>
        <v>2025</v>
      </c>
      <c r="K5" s="7">
        <f t="shared" si="0"/>
        <v>2026</v>
      </c>
      <c r="L5" s="7">
        <f t="shared" si="0"/>
        <v>2027</v>
      </c>
      <c r="M5" s="4"/>
      <c r="N5" s="4"/>
    </row>
    <row r="8" spans="2:14" s="113" customFormat="1" ht="12.6" thickBot="1" x14ac:dyDescent="0.45">
      <c r="B8" s="115" t="s">
        <v>197</v>
      </c>
    </row>
    <row r="9" spans="2:14" ht="12.6" thickTop="1" x14ac:dyDescent="0.4"/>
    <row r="10" spans="2:14" x14ac:dyDescent="0.4">
      <c r="C10" s="87" t="s">
        <v>133</v>
      </c>
      <c r="D10" s="24" t="s">
        <v>139</v>
      </c>
      <c r="F10" s="61" t="s">
        <v>185</v>
      </c>
    </row>
    <row r="11" spans="2:14" x14ac:dyDescent="0.4">
      <c r="C11" t="s">
        <v>157</v>
      </c>
      <c r="D11" s="24" t="s">
        <v>170</v>
      </c>
      <c r="F11" s="45"/>
      <c r="G11" s="80" t="s">
        <v>125</v>
      </c>
      <c r="H11" s="80" t="s">
        <v>126</v>
      </c>
      <c r="I11" s="80" t="s">
        <v>126</v>
      </c>
      <c r="J11" s="80" t="s">
        <v>126</v>
      </c>
      <c r="K11" s="80" t="s">
        <v>126</v>
      </c>
      <c r="L11" s="80" t="s">
        <v>126</v>
      </c>
      <c r="M11" s="43"/>
    </row>
    <row r="12" spans="2:14" x14ac:dyDescent="0.4">
      <c r="D12" s="24" t="s">
        <v>170</v>
      </c>
      <c r="F12" s="45"/>
      <c r="G12" s="81">
        <v>2022</v>
      </c>
      <c r="H12" s="81">
        <v>2023</v>
      </c>
      <c r="I12" s="81">
        <v>2024</v>
      </c>
      <c r="J12" s="81">
        <v>2025</v>
      </c>
      <c r="K12" s="81">
        <v>2026</v>
      </c>
      <c r="L12" s="81">
        <v>2027</v>
      </c>
      <c r="M12" s="43"/>
    </row>
    <row r="13" spans="2:14" x14ac:dyDescent="0.4">
      <c r="D13" s="24"/>
      <c r="F13" s="45"/>
      <c r="G13" s="43"/>
      <c r="H13" s="43"/>
      <c r="I13" s="43"/>
      <c r="J13" s="43"/>
      <c r="K13" s="43"/>
      <c r="L13" s="43"/>
      <c r="M13" s="43"/>
    </row>
    <row r="14" spans="2:14" x14ac:dyDescent="0.4">
      <c r="C14" t="s">
        <v>177</v>
      </c>
      <c r="D14" s="24"/>
      <c r="F14" s="45"/>
      <c r="G14" s="43"/>
      <c r="H14" s="43"/>
      <c r="I14" s="43"/>
      <c r="J14" s="43"/>
      <c r="K14" s="43"/>
      <c r="L14" s="43"/>
      <c r="M14" s="43"/>
    </row>
    <row r="15" spans="2:14" x14ac:dyDescent="0.4">
      <c r="C15" t="s">
        <v>156</v>
      </c>
      <c r="D15" s="24"/>
      <c r="F15" s="45"/>
      <c r="G15" s="43"/>
      <c r="H15" s="43"/>
      <c r="I15" s="43"/>
      <c r="J15" s="43"/>
      <c r="K15" s="43"/>
      <c r="L15" s="43"/>
      <c r="M15" s="43"/>
    </row>
    <row r="16" spans="2:14" x14ac:dyDescent="0.4">
      <c r="C16" s="102" t="s">
        <v>154</v>
      </c>
      <c r="D16" s="24"/>
      <c r="F16" s="46">
        <f>IF(C16=C17,1,2)</f>
        <v>1</v>
      </c>
      <c r="G16" s="43"/>
      <c r="H16" s="34">
        <f>CHOOSE($F$16,H17,H18)</f>
        <v>0.5</v>
      </c>
      <c r="I16" s="34">
        <f>CHOOSE($F$16,I17,I18)</f>
        <v>1.5</v>
      </c>
      <c r="J16" s="34">
        <f>CHOOSE($F$16,J17,J18)</f>
        <v>2.5</v>
      </c>
      <c r="K16" s="34">
        <f>CHOOSE($F$16,K17,K18)</f>
        <v>3.5</v>
      </c>
      <c r="L16" s="34">
        <f>CHOOSE($F$16,L17,L18)</f>
        <v>4.5</v>
      </c>
      <c r="M16" s="43"/>
    </row>
    <row r="17" spans="1:14" x14ac:dyDescent="0.4">
      <c r="C17" t="s">
        <v>154</v>
      </c>
      <c r="D17" s="24" t="s">
        <v>65</v>
      </c>
      <c r="F17" s="45"/>
      <c r="G17" s="43"/>
      <c r="H17" s="51">
        <v>0.5</v>
      </c>
      <c r="I17" s="51">
        <f>H17+1</f>
        <v>1.5</v>
      </c>
      <c r="J17" s="51">
        <f>I17+1</f>
        <v>2.5</v>
      </c>
      <c r="K17" s="51">
        <f>J17+1</f>
        <v>3.5</v>
      </c>
      <c r="L17" s="51">
        <f>K17+1</f>
        <v>4.5</v>
      </c>
      <c r="M17" s="51"/>
    </row>
    <row r="18" spans="1:14" x14ac:dyDescent="0.4">
      <c r="C18" t="s">
        <v>155</v>
      </c>
      <c r="D18" s="24" t="s">
        <v>65</v>
      </c>
      <c r="F18" s="45"/>
      <c r="G18" s="43"/>
      <c r="H18" s="51">
        <v>1</v>
      </c>
      <c r="I18" s="51">
        <v>2</v>
      </c>
      <c r="J18" s="51">
        <v>3</v>
      </c>
      <c r="K18" s="51">
        <v>4</v>
      </c>
      <c r="L18" s="51">
        <v>5</v>
      </c>
      <c r="M18" s="51"/>
    </row>
    <row r="19" spans="1:14" x14ac:dyDescent="0.4">
      <c r="C19" s="87"/>
      <c r="D19" s="24"/>
      <c r="F19" s="45"/>
      <c r="G19" s="43"/>
      <c r="H19" s="51"/>
      <c r="I19" s="51"/>
      <c r="J19" s="51"/>
      <c r="K19" s="51"/>
      <c r="L19" s="51"/>
      <c r="M19" s="51"/>
    </row>
    <row r="20" spans="1:14" s="86" customFormat="1" ht="12.6" thickBot="1" x14ac:dyDescent="0.45">
      <c r="A20" s="113"/>
      <c r="B20" s="115" t="s">
        <v>198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</row>
    <row r="21" spans="1:14" s="33" customFormat="1" ht="12.6" thickTop="1" x14ac:dyDescent="0.4">
      <c r="B21" s="93"/>
      <c r="C21" s="101"/>
      <c r="D21" s="99"/>
    </row>
    <row r="22" spans="1:14" x14ac:dyDescent="0.4">
      <c r="C22" t="s">
        <v>54</v>
      </c>
      <c r="D22" s="24" t="s">
        <v>63</v>
      </c>
      <c r="F22" s="47">
        <v>0.1</v>
      </c>
      <c r="G22" s="43"/>
      <c r="H22" s="43"/>
      <c r="I22" s="43"/>
      <c r="J22" s="43"/>
      <c r="K22" s="43"/>
      <c r="L22" s="43"/>
      <c r="M22" s="43"/>
    </row>
    <row r="23" spans="1:14" x14ac:dyDescent="0.4">
      <c r="C23" t="s">
        <v>80</v>
      </c>
      <c r="D23" s="24" t="s">
        <v>63</v>
      </c>
      <c r="F23" s="47">
        <v>3.5000000000000003E-2</v>
      </c>
      <c r="G23" s="43"/>
      <c r="H23" s="43"/>
      <c r="I23" s="43"/>
      <c r="J23" s="43"/>
      <c r="K23" s="43"/>
      <c r="L23" s="43"/>
      <c r="M23" s="43"/>
    </row>
    <row r="24" spans="1:14" x14ac:dyDescent="0.4">
      <c r="C24" t="s">
        <v>55</v>
      </c>
      <c r="D24" s="24" t="s">
        <v>64</v>
      </c>
      <c r="F24" s="45">
        <v>138.38</v>
      </c>
      <c r="G24" s="43"/>
      <c r="H24" s="43"/>
      <c r="I24" s="43"/>
      <c r="J24" s="43"/>
      <c r="K24" s="43"/>
      <c r="L24" s="43"/>
      <c r="M24" s="43"/>
    </row>
    <row r="25" spans="1:14" x14ac:dyDescent="0.4">
      <c r="C25" t="s">
        <v>184</v>
      </c>
      <c r="D25" s="24" t="s">
        <v>64</v>
      </c>
      <c r="F25" s="50">
        <v>20000</v>
      </c>
      <c r="G25" s="43"/>
      <c r="H25" s="43"/>
      <c r="I25" s="43"/>
      <c r="J25" s="43"/>
      <c r="K25" s="43"/>
      <c r="L25" s="43"/>
      <c r="M25" s="43"/>
    </row>
    <row r="26" spans="1:14" x14ac:dyDescent="0.4">
      <c r="D26" s="24"/>
      <c r="F26" s="45"/>
      <c r="G26" s="43"/>
      <c r="H26" s="43"/>
      <c r="I26" s="43"/>
      <c r="J26" s="43"/>
      <c r="K26" s="43"/>
      <c r="L26" s="43"/>
      <c r="M26" s="43"/>
    </row>
    <row r="27" spans="1:14" s="86" customFormat="1" ht="12.6" thickBot="1" x14ac:dyDescent="0.45">
      <c r="A27" s="113"/>
      <c r="B27" s="115" t="s">
        <v>199</v>
      </c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</row>
    <row r="28" spans="1:14" s="33" customFormat="1" ht="12.6" thickTop="1" x14ac:dyDescent="0.4">
      <c r="B28" s="98"/>
      <c r="D28" s="99"/>
      <c r="F28" s="100"/>
      <c r="G28" s="100"/>
      <c r="H28" s="100"/>
      <c r="I28" s="100"/>
      <c r="J28" s="100"/>
      <c r="K28" s="100"/>
      <c r="L28" s="100"/>
      <c r="M28" s="100"/>
    </row>
    <row r="29" spans="1:14" x14ac:dyDescent="0.4">
      <c r="C29" s="4" t="s">
        <v>10</v>
      </c>
      <c r="D29" s="24"/>
      <c r="E29" s="21"/>
      <c r="F29" s="43"/>
      <c r="G29" s="43"/>
      <c r="H29" s="48"/>
      <c r="I29" s="48"/>
      <c r="J29" s="48"/>
      <c r="K29" s="48"/>
      <c r="L29" s="48"/>
      <c r="M29" s="48"/>
    </row>
    <row r="30" spans="1:14" x14ac:dyDescent="0.4">
      <c r="C30" s="1" t="s">
        <v>56</v>
      </c>
      <c r="D30" s="24" t="s">
        <v>63</v>
      </c>
      <c r="E30" s="22"/>
      <c r="F30" s="43"/>
      <c r="G30" s="44"/>
      <c r="H30" s="48">
        <v>0.06</v>
      </c>
      <c r="I30" s="48">
        <v>0.06</v>
      </c>
      <c r="J30" s="48">
        <v>0.06</v>
      </c>
      <c r="K30" s="48">
        <v>0.05</v>
      </c>
      <c r="L30" s="48">
        <v>0.05</v>
      </c>
      <c r="M30" s="48"/>
    </row>
    <row r="31" spans="1:14" x14ac:dyDescent="0.4">
      <c r="C31" s="1" t="s">
        <v>57</v>
      </c>
      <c r="D31" s="24" t="s">
        <v>63</v>
      </c>
      <c r="E31" s="23"/>
      <c r="F31" s="43"/>
      <c r="G31" s="43"/>
      <c r="H31" s="48">
        <v>0.15</v>
      </c>
      <c r="I31" s="48">
        <v>0.12</v>
      </c>
      <c r="J31" s="48">
        <v>0.1</v>
      </c>
      <c r="K31" s="48">
        <v>0.08</v>
      </c>
      <c r="L31" s="48">
        <v>0.05</v>
      </c>
      <c r="M31" s="48"/>
    </row>
    <row r="32" spans="1:14" x14ac:dyDescent="0.4">
      <c r="C32" s="1"/>
      <c r="D32" s="24" t="s">
        <v>0</v>
      </c>
      <c r="E32" s="23"/>
      <c r="F32" s="43"/>
      <c r="G32" s="43"/>
      <c r="H32" s="43"/>
      <c r="I32" s="43"/>
      <c r="J32" s="43"/>
      <c r="K32" s="43"/>
      <c r="L32" s="43"/>
      <c r="M32" s="43"/>
    </row>
    <row r="33" spans="1:14" x14ac:dyDescent="0.4">
      <c r="C33" s="1" t="s">
        <v>194</v>
      </c>
      <c r="D33" s="24" t="s">
        <v>63</v>
      </c>
      <c r="E33" s="23"/>
      <c r="F33" s="48">
        <v>0.15</v>
      </c>
      <c r="G33" s="43"/>
      <c r="H33" s="43"/>
      <c r="I33" s="43"/>
      <c r="J33" s="43"/>
      <c r="K33" s="43"/>
      <c r="L33" s="43"/>
      <c r="M33" s="43"/>
    </row>
    <row r="34" spans="1:14" x14ac:dyDescent="0.4">
      <c r="C34" s="1" t="s">
        <v>195</v>
      </c>
      <c r="D34" s="24" t="s">
        <v>196</v>
      </c>
      <c r="E34" s="23"/>
      <c r="F34" s="108">
        <v>2025</v>
      </c>
      <c r="G34" s="43"/>
      <c r="H34" s="43"/>
      <c r="I34" s="43"/>
      <c r="J34" s="43"/>
      <c r="K34" s="43"/>
      <c r="L34" s="43"/>
      <c r="M34" s="43"/>
    </row>
    <row r="35" spans="1:14" x14ac:dyDescent="0.4">
      <c r="C35" s="1"/>
      <c r="D35" s="24"/>
      <c r="E35" s="23"/>
      <c r="F35" s="43"/>
      <c r="G35" s="43"/>
      <c r="H35" s="43"/>
      <c r="I35" s="43"/>
      <c r="J35" s="43"/>
      <c r="K35" s="43"/>
      <c r="L35" s="43"/>
      <c r="M35" s="43"/>
    </row>
    <row r="36" spans="1:14" x14ac:dyDescent="0.4">
      <c r="C36" s="4" t="s">
        <v>11</v>
      </c>
      <c r="D36" s="24"/>
      <c r="E36" s="21"/>
      <c r="F36" s="43"/>
      <c r="G36" s="48"/>
      <c r="H36" s="48"/>
      <c r="I36" s="48"/>
      <c r="J36" s="48"/>
      <c r="K36" s="48"/>
      <c r="L36" s="48"/>
      <c r="M36" s="48"/>
    </row>
    <row r="37" spans="1:14" x14ac:dyDescent="0.4">
      <c r="C37" s="1" t="s">
        <v>58</v>
      </c>
      <c r="D37" s="24" t="s">
        <v>63</v>
      </c>
      <c r="E37" s="23"/>
      <c r="F37" s="43"/>
      <c r="G37" s="60">
        <f>G88/G83</f>
        <v>0.63716520292600543</v>
      </c>
      <c r="H37" s="48">
        <f>G37</f>
        <v>0.63716520292600543</v>
      </c>
      <c r="I37" s="48">
        <f t="shared" ref="I37:L38" si="1">H37</f>
        <v>0.63716520292600543</v>
      </c>
      <c r="J37" s="48">
        <f t="shared" si="1"/>
        <v>0.63716520292600543</v>
      </c>
      <c r="K37" s="48">
        <f t="shared" si="1"/>
        <v>0.63716520292600543</v>
      </c>
      <c r="L37" s="48">
        <f t="shared" si="1"/>
        <v>0.63716520292600543</v>
      </c>
      <c r="M37" s="48"/>
    </row>
    <row r="38" spans="1:14" x14ac:dyDescent="0.4">
      <c r="C38" s="1" t="s">
        <v>59</v>
      </c>
      <c r="D38" s="24" t="s">
        <v>63</v>
      </c>
      <c r="E38" s="23"/>
      <c r="F38" s="43"/>
      <c r="G38" s="60">
        <f>G89/G84</f>
        <v>0.28254553366867619</v>
      </c>
      <c r="H38" s="48">
        <f>G38</f>
        <v>0.28254553366867619</v>
      </c>
      <c r="I38" s="48">
        <f t="shared" si="1"/>
        <v>0.28254553366867619</v>
      </c>
      <c r="J38" s="48">
        <f t="shared" si="1"/>
        <v>0.28254553366867619</v>
      </c>
      <c r="K38" s="48">
        <f t="shared" si="1"/>
        <v>0.28254553366867619</v>
      </c>
      <c r="L38" s="48">
        <f t="shared" si="1"/>
        <v>0.28254553366867619</v>
      </c>
      <c r="M38" s="48"/>
    </row>
    <row r="39" spans="1:14" x14ac:dyDescent="0.4">
      <c r="C39" s="1"/>
      <c r="D39" s="24" t="s">
        <v>0</v>
      </c>
      <c r="E39" s="23"/>
      <c r="F39" s="43"/>
      <c r="G39" s="60"/>
      <c r="H39" s="48"/>
      <c r="I39" s="48"/>
      <c r="J39" s="48"/>
      <c r="K39" s="48"/>
      <c r="L39" s="48"/>
      <c r="M39" s="48"/>
    </row>
    <row r="40" spans="1:14" x14ac:dyDescent="0.4">
      <c r="C40" s="4" t="s">
        <v>14</v>
      </c>
      <c r="D40" s="24"/>
      <c r="E40" s="21"/>
      <c r="F40" s="43"/>
      <c r="G40" s="60"/>
      <c r="H40" s="48"/>
      <c r="I40" s="48"/>
      <c r="J40" s="48"/>
      <c r="K40" s="48"/>
      <c r="L40" s="48"/>
      <c r="M40" s="48"/>
    </row>
    <row r="41" spans="1:14" x14ac:dyDescent="0.4">
      <c r="C41" s="1" t="s">
        <v>60</v>
      </c>
      <c r="D41" s="24" t="s">
        <v>63</v>
      </c>
      <c r="E41" s="23"/>
      <c r="F41" s="43"/>
      <c r="G41" s="60">
        <f>G94/G85</f>
        <v>6.657148363798665E-2</v>
      </c>
      <c r="H41" s="48">
        <f>G41</f>
        <v>6.657148363798665E-2</v>
      </c>
      <c r="I41" s="48">
        <f>H41</f>
        <v>6.657148363798665E-2</v>
      </c>
      <c r="J41" s="48">
        <f>I41</f>
        <v>6.657148363798665E-2</v>
      </c>
      <c r="K41" s="48">
        <f>J41</f>
        <v>6.657148363798665E-2</v>
      </c>
      <c r="L41" s="48">
        <f>K41</f>
        <v>6.657148363798665E-2</v>
      </c>
      <c r="M41" s="48"/>
    </row>
    <row r="42" spans="1:14" x14ac:dyDescent="0.4">
      <c r="C42" s="1" t="s">
        <v>61</v>
      </c>
      <c r="D42" s="24" t="s">
        <v>63</v>
      </c>
      <c r="E42" s="23"/>
      <c r="F42" s="43"/>
      <c r="G42" s="60"/>
      <c r="H42" s="48">
        <v>7.0000000000000007E-2</v>
      </c>
      <c r="I42" s="48">
        <v>0.06</v>
      </c>
      <c r="J42" s="48">
        <v>0.05</v>
      </c>
      <c r="K42" s="48">
        <v>0.03</v>
      </c>
      <c r="L42" s="48">
        <v>0.02</v>
      </c>
      <c r="M42" s="48"/>
    </row>
    <row r="43" spans="1:14" x14ac:dyDescent="0.4">
      <c r="C43" s="1"/>
      <c r="D43" s="24" t="s">
        <v>0</v>
      </c>
      <c r="E43" s="23"/>
      <c r="F43" s="43"/>
      <c r="G43" s="34"/>
      <c r="H43" s="43"/>
      <c r="I43" s="43"/>
      <c r="J43" s="43"/>
      <c r="K43" s="43"/>
      <c r="L43" s="43"/>
      <c r="M43" s="43"/>
    </row>
    <row r="44" spans="1:14" x14ac:dyDescent="0.4">
      <c r="C44" s="1" t="s">
        <v>169</v>
      </c>
      <c r="D44" s="24" t="s">
        <v>64</v>
      </c>
      <c r="E44" s="23"/>
      <c r="F44" s="43"/>
      <c r="G44" s="89">
        <f>G99</f>
        <v>-228</v>
      </c>
      <c r="H44" s="50">
        <f>G44</f>
        <v>-228</v>
      </c>
      <c r="I44" s="50">
        <f>H44</f>
        <v>-228</v>
      </c>
      <c r="J44" s="50">
        <f>I44</f>
        <v>-228</v>
      </c>
      <c r="K44" s="50">
        <f>J44</f>
        <v>-228</v>
      </c>
      <c r="L44" s="50">
        <f>K44</f>
        <v>-228</v>
      </c>
      <c r="M44" s="45"/>
    </row>
    <row r="45" spans="1:14" x14ac:dyDescent="0.4">
      <c r="C45" s="1"/>
      <c r="D45" s="24"/>
      <c r="E45" s="23"/>
      <c r="F45" s="43"/>
      <c r="G45" s="46"/>
      <c r="H45" s="50"/>
      <c r="I45" s="50"/>
      <c r="J45" s="50"/>
      <c r="K45" s="50"/>
      <c r="L45" s="50"/>
      <c r="M45" s="45"/>
    </row>
    <row r="46" spans="1:14" x14ac:dyDescent="0.4">
      <c r="C46" s="1" t="s">
        <v>62</v>
      </c>
      <c r="D46" s="24" t="s">
        <v>63</v>
      </c>
      <c r="E46" s="23"/>
      <c r="F46" s="43"/>
      <c r="G46" s="60">
        <f>G103/G102</f>
        <v>0.16204461684424407</v>
      </c>
      <c r="H46" s="48">
        <f>G46</f>
        <v>0.16204461684424407</v>
      </c>
      <c r="I46" s="48">
        <f>H46</f>
        <v>0.16204461684424407</v>
      </c>
      <c r="J46" s="48">
        <f>I46</f>
        <v>0.16204461684424407</v>
      </c>
      <c r="K46" s="48">
        <f>J46</f>
        <v>0.16204461684424407</v>
      </c>
      <c r="L46" s="48">
        <f>K46</f>
        <v>0.16204461684424407</v>
      </c>
      <c r="M46" s="48"/>
    </row>
    <row r="47" spans="1:14" x14ac:dyDescent="0.4">
      <c r="B47" s="1"/>
      <c r="C47" s="1" t="s">
        <v>0</v>
      </c>
      <c r="D47" s="24" t="s">
        <v>0</v>
      </c>
      <c r="E47" s="22"/>
      <c r="F47" s="43"/>
      <c r="G47" s="43"/>
      <c r="H47" s="43"/>
      <c r="I47" s="43"/>
      <c r="J47" s="43"/>
      <c r="K47" s="43"/>
      <c r="L47" s="43"/>
      <c r="M47" s="43"/>
    </row>
    <row r="48" spans="1:14" s="86" customFormat="1" ht="12.6" thickBot="1" x14ac:dyDescent="0.45">
      <c r="A48" s="113"/>
      <c r="B48" s="115" t="s">
        <v>200</v>
      </c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</row>
    <row r="49" spans="2:14" s="33" customFormat="1" ht="12.6" thickTop="1" x14ac:dyDescent="0.4">
      <c r="B49" s="98"/>
      <c r="D49" s="99"/>
      <c r="F49" s="100"/>
      <c r="G49" s="100"/>
      <c r="H49" s="100"/>
      <c r="I49" s="100"/>
      <c r="J49" s="100"/>
      <c r="K49" s="100"/>
      <c r="L49" s="100"/>
      <c r="M49" s="100"/>
    </row>
    <row r="50" spans="2:14" x14ac:dyDescent="0.4">
      <c r="C50" s="4" t="s">
        <v>132</v>
      </c>
      <c r="G50" s="51"/>
      <c r="H50" s="51"/>
      <c r="I50" s="51"/>
      <c r="J50" s="51"/>
      <c r="K50" s="51"/>
      <c r="L50" s="51"/>
      <c r="M50" s="51"/>
    </row>
    <row r="51" spans="2:14" x14ac:dyDescent="0.4">
      <c r="C51" s="59" t="s">
        <v>209</v>
      </c>
      <c r="D51" s="24" t="s">
        <v>138</v>
      </c>
      <c r="G51" s="51">
        <v>365</v>
      </c>
      <c r="H51" s="51">
        <f>G51</f>
        <v>365</v>
      </c>
      <c r="I51" s="51">
        <f>H51</f>
        <v>365</v>
      </c>
      <c r="J51" s="51">
        <f>I51</f>
        <v>365</v>
      </c>
      <c r="K51" s="51">
        <f>J51</f>
        <v>365</v>
      </c>
      <c r="L51" s="51">
        <f>K51</f>
        <v>365</v>
      </c>
      <c r="M51" s="51"/>
    </row>
    <row r="52" spans="2:14" x14ac:dyDescent="0.4">
      <c r="C52" s="59" t="s">
        <v>91</v>
      </c>
      <c r="D52" s="24" t="s">
        <v>138</v>
      </c>
      <c r="G52" s="41">
        <f>G112/G85*G51</f>
        <v>26.087825363656648</v>
      </c>
      <c r="H52" s="50">
        <f t="shared" ref="H52:L56" si="2">G52</f>
        <v>26.087825363656648</v>
      </c>
      <c r="I52" s="50">
        <f t="shared" si="2"/>
        <v>26.087825363656648</v>
      </c>
      <c r="J52" s="50">
        <f t="shared" si="2"/>
        <v>26.087825363656648</v>
      </c>
      <c r="K52" s="50">
        <f t="shared" si="2"/>
        <v>26.087825363656648</v>
      </c>
      <c r="L52" s="50">
        <f t="shared" si="2"/>
        <v>26.087825363656648</v>
      </c>
      <c r="M52" s="50"/>
    </row>
    <row r="53" spans="2:14" x14ac:dyDescent="0.4">
      <c r="C53" s="59" t="s">
        <v>92</v>
      </c>
      <c r="D53" s="24" t="s">
        <v>138</v>
      </c>
      <c r="G53" s="41">
        <f>G113/G88*G51</f>
        <v>8.96054519012662</v>
      </c>
      <c r="H53" s="50">
        <f t="shared" si="2"/>
        <v>8.96054519012662</v>
      </c>
      <c r="I53" s="50">
        <f t="shared" si="2"/>
        <v>8.96054519012662</v>
      </c>
      <c r="J53" s="50">
        <f t="shared" si="2"/>
        <v>8.96054519012662</v>
      </c>
      <c r="K53" s="50">
        <f t="shared" si="2"/>
        <v>8.96054519012662</v>
      </c>
      <c r="L53" s="50">
        <f t="shared" si="2"/>
        <v>8.96054519012662</v>
      </c>
      <c r="M53" s="50"/>
    </row>
    <row r="54" spans="2:14" x14ac:dyDescent="0.4">
      <c r="C54" s="59" t="s">
        <v>164</v>
      </c>
      <c r="D54" s="24" t="s">
        <v>138</v>
      </c>
      <c r="G54" s="41">
        <f>G116/G85*G51</f>
        <v>100.33686423485018</v>
      </c>
      <c r="H54" s="50">
        <f t="shared" si="2"/>
        <v>100.33686423485018</v>
      </c>
      <c r="I54" s="50">
        <f t="shared" si="2"/>
        <v>100.33686423485018</v>
      </c>
      <c r="J54" s="50">
        <f t="shared" si="2"/>
        <v>100.33686423485018</v>
      </c>
      <c r="K54" s="50">
        <f t="shared" si="2"/>
        <v>100.33686423485018</v>
      </c>
      <c r="L54" s="50">
        <f t="shared" si="2"/>
        <v>100.33686423485018</v>
      </c>
      <c r="M54" s="50"/>
    </row>
    <row r="55" spans="2:14" x14ac:dyDescent="0.4">
      <c r="C55" s="59" t="s">
        <v>93</v>
      </c>
      <c r="D55" s="24" t="s">
        <v>138</v>
      </c>
      <c r="G55" s="41">
        <f>G120/(G90+G96)*G51</f>
        <v>85.131834072414151</v>
      </c>
      <c r="H55" s="50">
        <f t="shared" si="2"/>
        <v>85.131834072414151</v>
      </c>
      <c r="I55" s="50">
        <f t="shared" si="2"/>
        <v>85.131834072414151</v>
      </c>
      <c r="J55" s="50">
        <f t="shared" si="2"/>
        <v>85.131834072414151</v>
      </c>
      <c r="K55" s="50">
        <f t="shared" si="2"/>
        <v>85.131834072414151</v>
      </c>
      <c r="L55" s="50">
        <f t="shared" si="2"/>
        <v>85.131834072414151</v>
      </c>
      <c r="M55" s="50"/>
    </row>
    <row r="56" spans="2:14" x14ac:dyDescent="0.4">
      <c r="C56" s="59" t="s">
        <v>188</v>
      </c>
      <c r="D56" s="24" t="s">
        <v>63</v>
      </c>
      <c r="G56" s="18"/>
      <c r="H56" s="106">
        <v>2.5000000000000001E-2</v>
      </c>
      <c r="I56" s="106">
        <f t="shared" si="2"/>
        <v>2.5000000000000001E-2</v>
      </c>
      <c r="J56" s="106">
        <f t="shared" si="2"/>
        <v>2.5000000000000001E-2</v>
      </c>
      <c r="K56" s="106">
        <f t="shared" si="2"/>
        <v>2.5000000000000001E-2</v>
      </c>
      <c r="L56" s="106">
        <f t="shared" si="2"/>
        <v>2.5000000000000001E-2</v>
      </c>
      <c r="M56" s="51"/>
    </row>
    <row r="57" spans="2:14" x14ac:dyDescent="0.4">
      <c r="D57" s="24"/>
      <c r="G57" s="51"/>
      <c r="H57" s="51"/>
      <c r="I57" s="51"/>
      <c r="J57" s="51"/>
      <c r="K57" s="51"/>
      <c r="L57" s="51"/>
      <c r="M57" s="51"/>
    </row>
    <row r="58" spans="2:14" x14ac:dyDescent="0.4">
      <c r="C58" t="s">
        <v>127</v>
      </c>
      <c r="D58" s="24" t="s">
        <v>64</v>
      </c>
      <c r="G58" s="51"/>
      <c r="H58" s="50">
        <v>0</v>
      </c>
      <c r="I58" s="50">
        <f>H58</f>
        <v>0</v>
      </c>
      <c r="J58" s="50">
        <f>I58</f>
        <v>0</v>
      </c>
      <c r="K58" s="50">
        <f>J58</f>
        <v>0</v>
      </c>
      <c r="L58" s="50">
        <f>K58</f>
        <v>0</v>
      </c>
      <c r="M58" s="51"/>
    </row>
    <row r="59" spans="2:14" x14ac:dyDescent="0.4">
      <c r="C59" s="87" t="s">
        <v>151</v>
      </c>
      <c r="D59" s="24" t="s">
        <v>63</v>
      </c>
      <c r="G59" s="11"/>
      <c r="H59" s="88">
        <v>0.02</v>
      </c>
      <c r="I59" s="88">
        <v>0.02</v>
      </c>
      <c r="J59" s="88">
        <v>0.02</v>
      </c>
      <c r="K59" s="88">
        <v>0.02</v>
      </c>
      <c r="L59" s="88">
        <v>0.02</v>
      </c>
      <c r="M59" s="51"/>
    </row>
    <row r="60" spans="2:14" x14ac:dyDescent="0.4">
      <c r="D60" s="24"/>
      <c r="G60" s="51"/>
      <c r="H60" s="50"/>
      <c r="I60" s="50"/>
      <c r="J60" s="50"/>
      <c r="K60" s="50"/>
      <c r="L60" s="50"/>
      <c r="M60" s="51"/>
    </row>
    <row r="61" spans="2:14" x14ac:dyDescent="0.4">
      <c r="C61" t="s">
        <v>94</v>
      </c>
      <c r="D61" s="24" t="s">
        <v>64</v>
      </c>
      <c r="G61" s="51"/>
      <c r="H61" s="50">
        <v>12000</v>
      </c>
      <c r="I61" s="50">
        <v>12000</v>
      </c>
      <c r="J61" s="50">
        <v>12000</v>
      </c>
      <c r="K61" s="50">
        <v>12000</v>
      </c>
      <c r="L61" s="50">
        <v>12000</v>
      </c>
      <c r="M61" s="51"/>
      <c r="N61" s="20"/>
    </row>
    <row r="62" spans="2:14" x14ac:dyDescent="0.4">
      <c r="C62" t="s">
        <v>137</v>
      </c>
      <c r="D62" s="24" t="s">
        <v>63</v>
      </c>
      <c r="G62" s="51"/>
      <c r="H62" s="53">
        <v>0.2</v>
      </c>
      <c r="I62" s="53">
        <v>0.2</v>
      </c>
      <c r="J62" s="53">
        <v>0.2</v>
      </c>
      <c r="K62" s="53">
        <v>0.2</v>
      </c>
      <c r="L62" s="53">
        <v>0.2</v>
      </c>
      <c r="M62" s="51"/>
      <c r="N62" s="20"/>
    </row>
    <row r="63" spans="2:14" x14ac:dyDescent="0.4">
      <c r="D63" s="24"/>
      <c r="G63" s="51"/>
    </row>
    <row r="64" spans="2:14" x14ac:dyDescent="0.4">
      <c r="C64" t="s">
        <v>128</v>
      </c>
      <c r="D64" s="24" t="s">
        <v>64</v>
      </c>
      <c r="G64" s="51"/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1"/>
    </row>
    <row r="65" spans="1:256" x14ac:dyDescent="0.4">
      <c r="C65" t="s">
        <v>148</v>
      </c>
      <c r="D65" s="24" t="s">
        <v>63</v>
      </c>
      <c r="G65" s="11"/>
      <c r="H65" s="88">
        <v>2.75E-2</v>
      </c>
      <c r="I65" s="88">
        <v>2.75E-2</v>
      </c>
      <c r="J65" s="88">
        <v>2.75E-2</v>
      </c>
      <c r="K65" s="88">
        <v>2.75E-2</v>
      </c>
      <c r="L65" s="88">
        <v>2.75E-2</v>
      </c>
      <c r="M65" s="51"/>
    </row>
    <row r="67" spans="1:256" s="86" customFormat="1" ht="12.6" thickBot="1" x14ac:dyDescent="0.45">
      <c r="A67" s="113"/>
      <c r="B67" s="115" t="s">
        <v>201</v>
      </c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5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5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5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  <c r="BE67" s="113"/>
      <c r="BF67" s="115"/>
      <c r="BG67" s="113"/>
      <c r="BH67" s="113"/>
      <c r="BI67" s="113"/>
      <c r="BJ67" s="113"/>
      <c r="BK67" s="113"/>
      <c r="BL67" s="113"/>
      <c r="BM67" s="113"/>
      <c r="BN67" s="113"/>
      <c r="BO67" s="113"/>
      <c r="BP67" s="113"/>
      <c r="BQ67" s="113"/>
      <c r="BR67" s="113"/>
      <c r="BS67" s="113"/>
      <c r="BT67" s="115"/>
      <c r="BU67" s="113"/>
      <c r="BV67" s="113"/>
      <c r="BW67" s="113"/>
      <c r="BX67" s="113"/>
      <c r="BY67" s="113"/>
      <c r="BZ67" s="113"/>
      <c r="CA67" s="113"/>
      <c r="CB67" s="113"/>
      <c r="CC67" s="113"/>
      <c r="CD67" s="113"/>
      <c r="CE67" s="113"/>
      <c r="CF67" s="113"/>
      <c r="CG67" s="113"/>
      <c r="CH67" s="115"/>
      <c r="CI67" s="113"/>
      <c r="CJ67" s="113"/>
      <c r="CK67" s="113"/>
      <c r="CL67" s="113"/>
      <c r="CM67" s="113"/>
      <c r="CN67" s="113"/>
      <c r="CO67" s="113"/>
      <c r="CP67" s="113"/>
      <c r="CQ67" s="113"/>
      <c r="CR67" s="113"/>
      <c r="CS67" s="113"/>
      <c r="CT67" s="113"/>
      <c r="CU67" s="113"/>
      <c r="CV67" s="115"/>
      <c r="CW67" s="113"/>
      <c r="CX67" s="113"/>
      <c r="CY67" s="113"/>
      <c r="CZ67" s="113"/>
      <c r="DA67" s="113"/>
      <c r="DB67" s="113"/>
      <c r="DC67" s="113"/>
      <c r="DD67" s="113"/>
      <c r="DE67" s="113"/>
      <c r="DF67" s="113"/>
      <c r="DG67" s="113"/>
      <c r="DH67" s="113"/>
      <c r="DI67" s="113"/>
      <c r="DJ67" s="115"/>
      <c r="DK67" s="113"/>
      <c r="DL67" s="113"/>
      <c r="DM67" s="113"/>
      <c r="DN67" s="113"/>
      <c r="DO67" s="113"/>
      <c r="DP67" s="113"/>
      <c r="DQ67" s="113"/>
      <c r="DR67" s="113"/>
      <c r="DS67" s="113"/>
      <c r="DT67" s="113"/>
      <c r="DU67" s="113"/>
      <c r="DV67" s="113"/>
      <c r="DW67" s="113"/>
      <c r="DX67" s="115"/>
      <c r="DY67" s="113"/>
      <c r="DZ67" s="113"/>
      <c r="EA67" s="113"/>
      <c r="EB67" s="113"/>
      <c r="EC67" s="113"/>
      <c r="ED67" s="113"/>
      <c r="EE67" s="113"/>
      <c r="EF67" s="113"/>
      <c r="EG67" s="113"/>
      <c r="EH67" s="113"/>
      <c r="EI67" s="113"/>
      <c r="EJ67" s="113"/>
      <c r="EK67" s="113"/>
      <c r="EL67" s="115"/>
      <c r="EM67" s="113"/>
      <c r="EN67" s="113"/>
      <c r="EO67" s="113"/>
      <c r="EP67" s="113"/>
      <c r="EQ67" s="113"/>
      <c r="ER67" s="113"/>
      <c r="ES67" s="113"/>
      <c r="ET67" s="113"/>
      <c r="EU67" s="113"/>
      <c r="EV67" s="113"/>
      <c r="EW67" s="113"/>
      <c r="EX67" s="113"/>
      <c r="EY67" s="113"/>
      <c r="EZ67" s="115"/>
      <c r="FA67" s="113"/>
      <c r="FB67" s="113"/>
      <c r="FC67" s="113"/>
      <c r="FD67" s="113"/>
      <c r="FE67" s="113"/>
      <c r="FF67" s="113"/>
      <c r="FG67" s="113"/>
      <c r="FH67" s="113"/>
      <c r="FI67" s="113"/>
      <c r="FJ67" s="113"/>
      <c r="FK67" s="113"/>
      <c r="FL67" s="113"/>
      <c r="FM67" s="113"/>
      <c r="FN67" s="115"/>
      <c r="FO67" s="113"/>
      <c r="FP67" s="113"/>
      <c r="FQ67" s="113"/>
      <c r="FR67" s="113"/>
      <c r="FS67" s="113"/>
      <c r="FT67" s="113"/>
      <c r="FU67" s="113"/>
      <c r="FV67" s="113"/>
      <c r="FW67" s="113"/>
      <c r="FX67" s="113"/>
      <c r="FY67" s="113"/>
      <c r="FZ67" s="113"/>
      <c r="GA67" s="113"/>
      <c r="GB67" s="115"/>
      <c r="GC67" s="113"/>
      <c r="GD67" s="113"/>
      <c r="GE67" s="113"/>
      <c r="GF67" s="113"/>
      <c r="GG67" s="113"/>
      <c r="GH67" s="113"/>
      <c r="GI67" s="113"/>
      <c r="GJ67" s="113"/>
      <c r="GK67" s="113"/>
      <c r="GL67" s="113"/>
      <c r="GM67" s="113"/>
      <c r="GN67" s="113"/>
      <c r="GO67" s="113"/>
      <c r="GP67" s="115"/>
      <c r="GQ67" s="113"/>
      <c r="GR67" s="113"/>
      <c r="GS67" s="113"/>
      <c r="GT67" s="113"/>
      <c r="GU67" s="113"/>
      <c r="GV67" s="113"/>
      <c r="GW67" s="113"/>
      <c r="GX67" s="113"/>
      <c r="GY67" s="113"/>
      <c r="GZ67" s="113"/>
      <c r="HA67" s="113"/>
      <c r="HB67" s="113"/>
      <c r="HC67" s="113"/>
      <c r="HD67" s="115"/>
      <c r="HE67" s="113"/>
      <c r="HF67" s="113"/>
      <c r="HG67" s="113"/>
      <c r="HH67" s="113"/>
      <c r="HI67" s="113"/>
      <c r="HJ67" s="113"/>
      <c r="HK67" s="113"/>
      <c r="HL67" s="113"/>
      <c r="HM67" s="113"/>
      <c r="HN67" s="113"/>
      <c r="HO67" s="113"/>
      <c r="HP67" s="113"/>
      <c r="HQ67" s="113"/>
      <c r="HR67" s="115"/>
      <c r="HS67" s="113"/>
      <c r="HT67" s="113"/>
      <c r="HU67" s="113"/>
      <c r="HV67" s="113"/>
      <c r="HW67" s="113"/>
      <c r="HX67" s="113"/>
      <c r="HY67" s="113"/>
      <c r="HZ67" s="113"/>
      <c r="IA67" s="113"/>
      <c r="IB67" s="113"/>
      <c r="IC67" s="113"/>
      <c r="ID67" s="113"/>
      <c r="IE67" s="113"/>
      <c r="IF67" s="115"/>
      <c r="IG67" s="113"/>
      <c r="IH67" s="113"/>
      <c r="II67" s="113"/>
      <c r="IJ67" s="113"/>
      <c r="IK67" s="113"/>
      <c r="IL67" s="113"/>
      <c r="IM67" s="113"/>
      <c r="IN67" s="113"/>
      <c r="IO67" s="113"/>
      <c r="IP67" s="113"/>
      <c r="IQ67" s="113"/>
      <c r="IR67" s="113"/>
      <c r="IS67" s="113"/>
      <c r="IT67" s="115"/>
      <c r="IU67" s="113"/>
      <c r="IV67" s="113"/>
    </row>
    <row r="68" spans="1:256" s="33" customFormat="1" ht="12.6" thickTop="1" x14ac:dyDescent="0.4">
      <c r="B68" s="93"/>
      <c r="C68" s="93"/>
      <c r="D68" s="99"/>
      <c r="E68" s="104"/>
      <c r="F68" s="100"/>
      <c r="G68" s="100"/>
      <c r="H68" s="100"/>
      <c r="I68" s="100"/>
      <c r="J68" s="100"/>
      <c r="K68" s="100"/>
      <c r="L68" s="100"/>
      <c r="M68" s="100"/>
    </row>
    <row r="69" spans="1:256" x14ac:dyDescent="0.4">
      <c r="C69" s="103" t="s">
        <v>143</v>
      </c>
      <c r="D69" s="24" t="s">
        <v>65</v>
      </c>
      <c r="E69" s="23"/>
      <c r="F69" s="43"/>
      <c r="G69" s="50">
        <v>16215.963</v>
      </c>
      <c r="H69" s="50"/>
      <c r="I69" s="50"/>
      <c r="J69" s="50"/>
      <c r="K69" s="50"/>
      <c r="L69" s="50"/>
      <c r="M69" s="50"/>
    </row>
    <row r="70" spans="1:256" x14ac:dyDescent="0.4">
      <c r="C70" s="103" t="s">
        <v>144</v>
      </c>
      <c r="D70" s="24" t="s">
        <v>65</v>
      </c>
      <c r="E70" s="23"/>
      <c r="F70" s="43"/>
      <c r="G70" s="50">
        <v>16325.819</v>
      </c>
      <c r="H70" s="50"/>
      <c r="I70" s="50"/>
      <c r="J70" s="50"/>
      <c r="K70" s="50"/>
      <c r="L70" s="50"/>
      <c r="M70" s="50"/>
    </row>
    <row r="71" spans="1:256" x14ac:dyDescent="0.4">
      <c r="C71" s="87"/>
      <c r="D71" s="21"/>
      <c r="E71" s="21"/>
      <c r="G71" s="11"/>
      <c r="H71" s="11"/>
      <c r="I71" s="11"/>
      <c r="J71" s="11"/>
      <c r="K71" s="11"/>
      <c r="L71" s="11"/>
      <c r="M71" s="11"/>
    </row>
    <row r="72" spans="1:256" x14ac:dyDescent="0.4">
      <c r="C72" s="87" t="s">
        <v>96</v>
      </c>
      <c r="D72" s="24" t="s">
        <v>65</v>
      </c>
      <c r="E72" s="21"/>
      <c r="H72" s="50">
        <v>0</v>
      </c>
      <c r="I72" s="50">
        <v>0</v>
      </c>
      <c r="J72" s="50">
        <v>0</v>
      </c>
      <c r="K72" s="50">
        <v>0</v>
      </c>
      <c r="L72" s="50">
        <v>0</v>
      </c>
    </row>
    <row r="73" spans="1:256" x14ac:dyDescent="0.4">
      <c r="C73" s="87" t="s">
        <v>140</v>
      </c>
      <c r="D73" s="24" t="s">
        <v>64</v>
      </c>
      <c r="E73" s="21"/>
      <c r="H73" s="54">
        <v>0</v>
      </c>
      <c r="I73" s="54">
        <v>0</v>
      </c>
      <c r="J73" s="54">
        <v>0</v>
      </c>
      <c r="K73" s="54">
        <v>0</v>
      </c>
      <c r="L73" s="54">
        <v>0</v>
      </c>
    </row>
    <row r="74" spans="1:256" x14ac:dyDescent="0.4">
      <c r="C74" s="87"/>
      <c r="D74" s="21"/>
      <c r="E74" s="21"/>
    </row>
    <row r="75" spans="1:256" x14ac:dyDescent="0.4">
      <c r="C75" s="87" t="s">
        <v>141</v>
      </c>
      <c r="D75" s="24" t="s">
        <v>65</v>
      </c>
      <c r="E75" s="21"/>
      <c r="H75" s="50">
        <v>715</v>
      </c>
      <c r="I75" s="50">
        <f>H75</f>
        <v>715</v>
      </c>
      <c r="J75" s="50">
        <f>I75</f>
        <v>715</v>
      </c>
      <c r="K75" s="50">
        <f>J75</f>
        <v>715</v>
      </c>
      <c r="L75" s="50">
        <f>K75</f>
        <v>715</v>
      </c>
    </row>
    <row r="76" spans="1:256" x14ac:dyDescent="0.4">
      <c r="C76" s="87" t="s">
        <v>142</v>
      </c>
      <c r="D76" s="24" t="s">
        <v>64</v>
      </c>
      <c r="E76" s="21"/>
      <c r="H76" s="54">
        <v>140</v>
      </c>
      <c r="I76" s="54">
        <v>140</v>
      </c>
      <c r="J76" s="54">
        <v>140</v>
      </c>
      <c r="K76" s="54">
        <v>140</v>
      </c>
      <c r="L76" s="54">
        <v>140</v>
      </c>
    </row>
    <row r="77" spans="1:256" x14ac:dyDescent="0.4">
      <c r="D77" s="21"/>
      <c r="E77" s="21"/>
    </row>
    <row r="78" spans="1:256" x14ac:dyDescent="0.4">
      <c r="C78" t="s">
        <v>95</v>
      </c>
      <c r="D78" s="24" t="s">
        <v>64</v>
      </c>
      <c r="G78" s="51"/>
      <c r="H78" s="54">
        <v>0.9</v>
      </c>
      <c r="I78" s="54">
        <v>0.95</v>
      </c>
      <c r="J78" s="54">
        <v>1</v>
      </c>
      <c r="K78" s="54">
        <v>1.05</v>
      </c>
      <c r="L78" s="54">
        <v>1.1000000000000001</v>
      </c>
      <c r="M78" s="54"/>
    </row>
    <row r="79" spans="1:256" x14ac:dyDescent="0.4">
      <c r="D79" s="24"/>
      <c r="G79" s="51"/>
      <c r="H79" s="54"/>
      <c r="I79" s="54"/>
      <c r="J79" s="54"/>
      <c r="K79" s="54"/>
      <c r="L79" s="54"/>
      <c r="M79" s="54"/>
    </row>
    <row r="80" spans="1:256" s="86" customFormat="1" ht="12.6" thickBot="1" x14ac:dyDescent="0.45">
      <c r="A80" s="113"/>
      <c r="B80" s="115" t="s">
        <v>202</v>
      </c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5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5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5"/>
      <c r="AS80" s="113"/>
      <c r="AT80" s="113"/>
      <c r="AU80" s="113"/>
      <c r="AV80" s="113"/>
      <c r="AW80" s="113"/>
      <c r="AX80" s="113"/>
      <c r="AY80" s="113"/>
      <c r="AZ80" s="113"/>
      <c r="BA80" s="113"/>
      <c r="BB80" s="113"/>
      <c r="BC80" s="113"/>
      <c r="BD80" s="113"/>
      <c r="BE80" s="113"/>
      <c r="BF80" s="115"/>
      <c r="BG80" s="113"/>
      <c r="BH80" s="113"/>
      <c r="BI80" s="113"/>
      <c r="BJ80" s="113"/>
      <c r="BK80" s="113"/>
      <c r="BL80" s="113"/>
      <c r="BM80" s="113"/>
      <c r="BN80" s="113"/>
      <c r="BO80" s="113"/>
      <c r="BP80" s="113"/>
      <c r="BQ80" s="113"/>
      <c r="BR80" s="113"/>
      <c r="BS80" s="113"/>
      <c r="BT80" s="115"/>
      <c r="BU80" s="113"/>
      <c r="BV80" s="113"/>
      <c r="BW80" s="113"/>
      <c r="BX80" s="113"/>
      <c r="BY80" s="113"/>
      <c r="BZ80" s="113"/>
      <c r="CA80" s="113"/>
      <c r="CB80" s="113"/>
      <c r="CC80" s="113"/>
      <c r="CD80" s="113"/>
      <c r="CE80" s="113"/>
      <c r="CF80" s="113"/>
      <c r="CG80" s="113"/>
      <c r="CH80" s="115"/>
      <c r="CI80" s="113"/>
      <c r="CJ80" s="113"/>
      <c r="CK80" s="113"/>
      <c r="CL80" s="113"/>
      <c r="CM80" s="113"/>
      <c r="CN80" s="113"/>
      <c r="CO80" s="113"/>
      <c r="CP80" s="113"/>
      <c r="CQ80" s="113"/>
      <c r="CR80" s="113"/>
      <c r="CS80" s="113"/>
      <c r="CT80" s="113"/>
      <c r="CU80" s="113"/>
      <c r="CV80" s="115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5"/>
      <c r="DK80" s="113"/>
      <c r="DL80" s="113"/>
      <c r="DM80" s="113"/>
      <c r="DN80" s="113"/>
      <c r="DO80" s="113"/>
      <c r="DP80" s="113"/>
      <c r="DQ80" s="113"/>
      <c r="DR80" s="113"/>
      <c r="DS80" s="113"/>
      <c r="DT80" s="113"/>
      <c r="DU80" s="113"/>
      <c r="DV80" s="113"/>
      <c r="DW80" s="113"/>
      <c r="DX80" s="115"/>
      <c r="DY80" s="113"/>
      <c r="DZ80" s="113"/>
      <c r="EA80" s="113"/>
      <c r="EB80" s="113"/>
      <c r="EC80" s="113"/>
      <c r="ED80" s="113"/>
      <c r="EE80" s="113"/>
      <c r="EF80" s="113"/>
      <c r="EG80" s="113"/>
      <c r="EH80" s="113"/>
      <c r="EI80" s="113"/>
      <c r="EJ80" s="113"/>
      <c r="EK80" s="113"/>
      <c r="EL80" s="115"/>
      <c r="EM80" s="113"/>
      <c r="EN80" s="113"/>
      <c r="EO80" s="113"/>
      <c r="EP80" s="113"/>
      <c r="EQ80" s="113"/>
      <c r="ER80" s="113"/>
      <c r="ES80" s="113"/>
      <c r="ET80" s="113"/>
      <c r="EU80" s="113"/>
      <c r="EV80" s="113"/>
      <c r="EW80" s="113"/>
      <c r="EX80" s="113"/>
      <c r="EY80" s="113"/>
      <c r="EZ80" s="115"/>
      <c r="FA80" s="113"/>
      <c r="FB80" s="113"/>
      <c r="FC80" s="113"/>
      <c r="FD80" s="113"/>
      <c r="FE80" s="113"/>
      <c r="FF80" s="113"/>
      <c r="FG80" s="113"/>
      <c r="FH80" s="113"/>
      <c r="FI80" s="113"/>
      <c r="FJ80" s="113"/>
      <c r="FK80" s="113"/>
      <c r="FL80" s="113"/>
      <c r="FM80" s="113"/>
      <c r="FN80" s="115"/>
      <c r="FO80" s="113"/>
      <c r="FP80" s="113"/>
      <c r="FQ80" s="113"/>
      <c r="FR80" s="113"/>
      <c r="FS80" s="113"/>
      <c r="FT80" s="113"/>
      <c r="FU80" s="113"/>
      <c r="FV80" s="113"/>
      <c r="FW80" s="113"/>
      <c r="FX80" s="113"/>
      <c r="FY80" s="113"/>
      <c r="FZ80" s="113"/>
      <c r="GA80" s="113"/>
      <c r="GB80" s="115"/>
      <c r="GC80" s="113"/>
      <c r="GD80" s="113"/>
      <c r="GE80" s="113"/>
      <c r="GF80" s="113"/>
      <c r="GG80" s="113"/>
      <c r="GH80" s="113"/>
      <c r="GI80" s="113"/>
      <c r="GJ80" s="113"/>
      <c r="GK80" s="113"/>
      <c r="GL80" s="113"/>
      <c r="GM80" s="113"/>
      <c r="GN80" s="113"/>
      <c r="GO80" s="113"/>
      <c r="GP80" s="115"/>
      <c r="GQ80" s="113"/>
      <c r="GR80" s="113"/>
      <c r="GS80" s="113"/>
      <c r="GT80" s="113"/>
      <c r="GU80" s="113"/>
      <c r="GV80" s="113"/>
      <c r="GW80" s="113"/>
      <c r="GX80" s="113"/>
      <c r="GY80" s="113"/>
      <c r="GZ80" s="113"/>
      <c r="HA80" s="113"/>
      <c r="HB80" s="113"/>
      <c r="HC80" s="113"/>
      <c r="HD80" s="115"/>
      <c r="HE80" s="113"/>
      <c r="HF80" s="113"/>
      <c r="HG80" s="113"/>
      <c r="HH80" s="113"/>
      <c r="HI80" s="113"/>
      <c r="HJ80" s="113"/>
      <c r="HK80" s="113"/>
      <c r="HL80" s="113"/>
      <c r="HM80" s="113"/>
      <c r="HN80" s="113"/>
      <c r="HO80" s="113"/>
      <c r="HP80" s="113"/>
      <c r="HQ80" s="113"/>
      <c r="HR80" s="115"/>
      <c r="HS80" s="113"/>
      <c r="HT80" s="113"/>
      <c r="HU80" s="113"/>
      <c r="HV80" s="113"/>
      <c r="HW80" s="113"/>
      <c r="HX80" s="113"/>
      <c r="HY80" s="113"/>
      <c r="HZ80" s="113"/>
      <c r="IA80" s="113"/>
      <c r="IB80" s="113"/>
      <c r="IC80" s="113"/>
      <c r="ID80" s="113"/>
      <c r="IE80" s="113"/>
      <c r="IF80" s="115"/>
      <c r="IG80" s="113"/>
      <c r="IH80" s="113"/>
      <c r="II80" s="113"/>
      <c r="IJ80" s="113"/>
      <c r="IK80" s="113"/>
      <c r="IL80" s="113"/>
      <c r="IM80" s="113"/>
      <c r="IN80" s="113"/>
      <c r="IO80" s="113"/>
      <c r="IP80" s="113"/>
      <c r="IQ80" s="113"/>
      <c r="IR80" s="113"/>
      <c r="IS80" s="113"/>
      <c r="IT80" s="115"/>
      <c r="IU80" s="113"/>
      <c r="IV80" s="113"/>
    </row>
    <row r="81" spans="3:7" ht="12.6" thickTop="1" x14ac:dyDescent="0.4">
      <c r="D81" s="21"/>
      <c r="E81" s="21"/>
    </row>
    <row r="82" spans="3:7" x14ac:dyDescent="0.4">
      <c r="C82" s="1" t="s">
        <v>10</v>
      </c>
      <c r="D82" s="1" t="s">
        <v>0</v>
      </c>
      <c r="F82" s="11"/>
      <c r="G82" s="11"/>
    </row>
    <row r="83" spans="3:7" x14ac:dyDescent="0.4">
      <c r="C83" s="1" t="s">
        <v>2</v>
      </c>
      <c r="F83" s="11"/>
      <c r="G83" s="50">
        <v>316199</v>
      </c>
    </row>
    <row r="84" spans="3:7" x14ac:dyDescent="0.4">
      <c r="C84" s="1" t="s">
        <v>3</v>
      </c>
      <c r="D84" s="1" t="s">
        <v>0</v>
      </c>
      <c r="F84" s="11"/>
      <c r="G84" s="50">
        <v>78129</v>
      </c>
    </row>
    <row r="85" spans="3:7" x14ac:dyDescent="0.4">
      <c r="C85" s="77" t="s">
        <v>1</v>
      </c>
      <c r="D85" s="77" t="s">
        <v>0</v>
      </c>
      <c r="E85" s="77"/>
      <c r="F85" s="78"/>
      <c r="G85" s="78">
        <f>SUM(G83:G84)</f>
        <v>394328</v>
      </c>
    </row>
    <row r="86" spans="3:7" x14ac:dyDescent="0.4">
      <c r="D86" s="1"/>
      <c r="F86" s="11"/>
      <c r="G86" s="11"/>
    </row>
    <row r="87" spans="3:7" x14ac:dyDescent="0.4">
      <c r="C87" s="1" t="s">
        <v>11</v>
      </c>
      <c r="F87" s="11"/>
      <c r="G87" s="11"/>
    </row>
    <row r="88" spans="3:7" x14ac:dyDescent="0.4">
      <c r="C88" s="1" t="s">
        <v>2</v>
      </c>
      <c r="F88" s="11"/>
      <c r="G88" s="50">
        <v>201471</v>
      </c>
    </row>
    <row r="89" spans="3:7" x14ac:dyDescent="0.4">
      <c r="C89" s="1" t="s">
        <v>3</v>
      </c>
      <c r="D89" s="1" t="s">
        <v>0</v>
      </c>
      <c r="F89" s="11"/>
      <c r="G89" s="50">
        <v>22075</v>
      </c>
    </row>
    <row r="90" spans="3:7" x14ac:dyDescent="0.4">
      <c r="C90" s="27" t="s">
        <v>12</v>
      </c>
      <c r="D90" s="27" t="s">
        <v>0</v>
      </c>
      <c r="E90" s="15"/>
      <c r="F90" s="28"/>
      <c r="G90" s="28">
        <f>SUM(G88:G89)</f>
        <v>223546</v>
      </c>
    </row>
    <row r="91" spans="3:7" x14ac:dyDescent="0.4">
      <c r="C91" s="64" t="s">
        <v>13</v>
      </c>
      <c r="D91" s="64" t="s">
        <v>0</v>
      </c>
      <c r="E91" s="64"/>
      <c r="F91" s="65"/>
      <c r="G91" s="65">
        <f>G85-G90</f>
        <v>170782</v>
      </c>
    </row>
    <row r="92" spans="3:7" x14ac:dyDescent="0.4">
      <c r="D92" s="1"/>
      <c r="F92" s="11"/>
      <c r="G92" s="11"/>
    </row>
    <row r="93" spans="3:7" x14ac:dyDescent="0.4">
      <c r="C93" s="1" t="s">
        <v>14</v>
      </c>
      <c r="F93" s="11"/>
      <c r="G93" s="11"/>
    </row>
    <row r="94" spans="3:7" x14ac:dyDescent="0.4">
      <c r="C94" s="1" t="s">
        <v>4</v>
      </c>
      <c r="F94" s="11"/>
      <c r="G94" s="50">
        <v>26251</v>
      </c>
    </row>
    <row r="95" spans="3:7" x14ac:dyDescent="0.4">
      <c r="C95" s="1" t="s">
        <v>5</v>
      </c>
      <c r="D95" s="1" t="s">
        <v>0</v>
      </c>
      <c r="F95" s="11"/>
      <c r="G95" s="50">
        <v>25094</v>
      </c>
    </row>
    <row r="96" spans="3:7" x14ac:dyDescent="0.4">
      <c r="C96" s="79" t="s">
        <v>6</v>
      </c>
      <c r="D96" s="27" t="s">
        <v>0</v>
      </c>
      <c r="E96" s="15"/>
      <c r="F96" s="28"/>
      <c r="G96" s="28">
        <f>SUM(G94:G95)</f>
        <v>51345</v>
      </c>
    </row>
    <row r="97" spans="1:256" x14ac:dyDescent="0.4">
      <c r="D97" s="1" t="s">
        <v>0</v>
      </c>
      <c r="F97" s="11"/>
      <c r="G97" s="11"/>
    </row>
    <row r="98" spans="1:256" x14ac:dyDescent="0.4">
      <c r="C98" s="4" t="s">
        <v>15</v>
      </c>
      <c r="D98" s="4"/>
      <c r="E98" s="4"/>
      <c r="F98" s="82"/>
      <c r="G98" s="82">
        <f>G91-G96</f>
        <v>119437</v>
      </c>
    </row>
    <row r="99" spans="1:256" x14ac:dyDescent="0.4">
      <c r="C99" s="1" t="s">
        <v>8</v>
      </c>
      <c r="D99" s="1" t="s">
        <v>0</v>
      </c>
      <c r="F99" s="11"/>
      <c r="G99" s="50">
        <v>-228</v>
      </c>
    </row>
    <row r="100" spans="1:256" x14ac:dyDescent="0.4">
      <c r="C100" s="34" t="s">
        <v>153</v>
      </c>
      <c r="D100" s="1"/>
      <c r="F100" s="11"/>
      <c r="G100" s="50">
        <v>2825</v>
      </c>
    </row>
    <row r="101" spans="1:256" x14ac:dyDescent="0.4">
      <c r="C101" s="34" t="s">
        <v>7</v>
      </c>
      <c r="D101" s="1"/>
      <c r="F101" s="11"/>
      <c r="G101" s="50">
        <v>-2931</v>
      </c>
    </row>
    <row r="102" spans="1:256" x14ac:dyDescent="0.4">
      <c r="C102" s="27" t="s">
        <v>16</v>
      </c>
      <c r="D102" s="27" t="s">
        <v>0</v>
      </c>
      <c r="E102" s="15"/>
      <c r="F102" s="28"/>
      <c r="G102" s="28">
        <f>SUM(G98:G101)</f>
        <v>119103</v>
      </c>
    </row>
    <row r="103" spans="1:256" x14ac:dyDescent="0.4">
      <c r="C103" s="1" t="s">
        <v>9</v>
      </c>
      <c r="D103" s="1" t="s">
        <v>0</v>
      </c>
      <c r="F103" s="11"/>
      <c r="G103" s="50">
        <v>19300</v>
      </c>
    </row>
    <row r="104" spans="1:256" x14ac:dyDescent="0.4">
      <c r="C104" s="64" t="s">
        <v>17</v>
      </c>
      <c r="D104" s="64" t="s">
        <v>0</v>
      </c>
      <c r="E104" s="64"/>
      <c r="F104" s="65"/>
      <c r="G104" s="65">
        <f>G102-G103</f>
        <v>99803</v>
      </c>
    </row>
    <row r="105" spans="1:256" x14ac:dyDescent="0.4">
      <c r="D105" s="21"/>
      <c r="E105" s="21"/>
    </row>
    <row r="106" spans="1:256" x14ac:dyDescent="0.4">
      <c r="C106" t="s">
        <v>172</v>
      </c>
      <c r="D106" s="21"/>
      <c r="E106" s="21"/>
      <c r="G106" s="50">
        <v>11104</v>
      </c>
    </row>
    <row r="107" spans="1:256" x14ac:dyDescent="0.4">
      <c r="D107" s="21"/>
      <c r="E107" s="21"/>
      <c r="G107" s="17"/>
    </row>
    <row r="108" spans="1:256" s="86" customFormat="1" ht="12.6" thickBot="1" x14ac:dyDescent="0.45">
      <c r="A108" s="113"/>
      <c r="B108" s="115" t="s">
        <v>203</v>
      </c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5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5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5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5"/>
      <c r="BG108" s="113"/>
      <c r="BH108" s="113"/>
      <c r="BI108" s="113"/>
      <c r="BJ108" s="113"/>
      <c r="BK108" s="113"/>
      <c r="BL108" s="113"/>
      <c r="BM108" s="113"/>
      <c r="BN108" s="113"/>
      <c r="BO108" s="113"/>
      <c r="BP108" s="113"/>
      <c r="BQ108" s="113"/>
      <c r="BR108" s="113"/>
      <c r="BS108" s="113"/>
      <c r="BT108" s="115"/>
      <c r="BU108" s="113"/>
      <c r="BV108" s="113"/>
      <c r="BW108" s="113"/>
      <c r="BX108" s="113"/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5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3"/>
      <c r="CS108" s="113"/>
      <c r="CT108" s="113"/>
      <c r="CU108" s="113"/>
      <c r="CV108" s="115"/>
      <c r="CW108" s="113"/>
      <c r="CX108" s="113"/>
      <c r="CY108" s="113"/>
      <c r="CZ108" s="113"/>
      <c r="DA108" s="113"/>
      <c r="DB108" s="113"/>
      <c r="DC108" s="113"/>
      <c r="DD108" s="113"/>
      <c r="DE108" s="113"/>
      <c r="DF108" s="113"/>
      <c r="DG108" s="113"/>
      <c r="DH108" s="113"/>
      <c r="DI108" s="113"/>
      <c r="DJ108" s="115"/>
      <c r="DK108" s="113"/>
      <c r="DL108" s="113"/>
      <c r="DM108" s="113"/>
      <c r="DN108" s="113"/>
      <c r="DO108" s="113"/>
      <c r="DP108" s="113"/>
      <c r="DQ108" s="113"/>
      <c r="DR108" s="113"/>
      <c r="DS108" s="113"/>
      <c r="DT108" s="113"/>
      <c r="DU108" s="113"/>
      <c r="DV108" s="113"/>
      <c r="DW108" s="113"/>
      <c r="DX108" s="115"/>
      <c r="DY108" s="113"/>
      <c r="DZ108" s="113"/>
      <c r="EA108" s="113"/>
      <c r="EB108" s="113"/>
      <c r="EC108" s="113"/>
      <c r="ED108" s="113"/>
      <c r="EE108" s="113"/>
      <c r="EF108" s="113"/>
      <c r="EG108" s="113"/>
      <c r="EH108" s="113"/>
      <c r="EI108" s="113"/>
      <c r="EJ108" s="113"/>
      <c r="EK108" s="113"/>
      <c r="EL108" s="115"/>
      <c r="EM108" s="113"/>
      <c r="EN108" s="113"/>
      <c r="EO108" s="113"/>
      <c r="EP108" s="113"/>
      <c r="EQ108" s="113"/>
      <c r="ER108" s="113"/>
      <c r="ES108" s="113"/>
      <c r="ET108" s="113"/>
      <c r="EU108" s="113"/>
      <c r="EV108" s="113"/>
      <c r="EW108" s="113"/>
      <c r="EX108" s="113"/>
      <c r="EY108" s="113"/>
      <c r="EZ108" s="115"/>
      <c r="FA108" s="113"/>
      <c r="FB108" s="113"/>
      <c r="FC108" s="113"/>
      <c r="FD108" s="113"/>
      <c r="FE108" s="113"/>
      <c r="FF108" s="113"/>
      <c r="FG108" s="113"/>
      <c r="FH108" s="113"/>
      <c r="FI108" s="113"/>
      <c r="FJ108" s="113"/>
      <c r="FK108" s="113"/>
      <c r="FL108" s="113"/>
      <c r="FM108" s="113"/>
      <c r="FN108" s="115"/>
      <c r="FO108" s="113"/>
      <c r="FP108" s="113"/>
      <c r="FQ108" s="113"/>
      <c r="FR108" s="113"/>
      <c r="FS108" s="113"/>
      <c r="FT108" s="113"/>
      <c r="FU108" s="113"/>
      <c r="FV108" s="113"/>
      <c r="FW108" s="113"/>
      <c r="FX108" s="113"/>
      <c r="FY108" s="113"/>
      <c r="FZ108" s="113"/>
      <c r="GA108" s="113"/>
      <c r="GB108" s="115"/>
      <c r="GC108" s="113"/>
      <c r="GD108" s="113"/>
      <c r="GE108" s="113"/>
      <c r="GF108" s="113"/>
      <c r="GG108" s="113"/>
      <c r="GH108" s="113"/>
      <c r="GI108" s="113"/>
      <c r="GJ108" s="113"/>
      <c r="GK108" s="113"/>
      <c r="GL108" s="113"/>
      <c r="GM108" s="113"/>
      <c r="GN108" s="113"/>
      <c r="GO108" s="113"/>
      <c r="GP108" s="115"/>
      <c r="GQ108" s="113"/>
      <c r="GR108" s="113"/>
      <c r="GS108" s="113"/>
      <c r="GT108" s="113"/>
      <c r="GU108" s="113"/>
      <c r="GV108" s="113"/>
      <c r="GW108" s="113"/>
      <c r="GX108" s="113"/>
      <c r="GY108" s="113"/>
      <c r="GZ108" s="113"/>
      <c r="HA108" s="113"/>
      <c r="HB108" s="113"/>
      <c r="HC108" s="113"/>
      <c r="HD108" s="115"/>
      <c r="HE108" s="113"/>
      <c r="HF108" s="113"/>
      <c r="HG108" s="113"/>
      <c r="HH108" s="113"/>
      <c r="HI108" s="113"/>
      <c r="HJ108" s="113"/>
      <c r="HK108" s="113"/>
      <c r="HL108" s="113"/>
      <c r="HM108" s="113"/>
      <c r="HN108" s="113"/>
      <c r="HO108" s="113"/>
      <c r="HP108" s="113"/>
      <c r="HQ108" s="113"/>
      <c r="HR108" s="115"/>
      <c r="HS108" s="113"/>
      <c r="HT108" s="113"/>
      <c r="HU108" s="113"/>
      <c r="HV108" s="113"/>
      <c r="HW108" s="113"/>
      <c r="HX108" s="113"/>
      <c r="HY108" s="113"/>
      <c r="HZ108" s="113"/>
      <c r="IA108" s="113"/>
      <c r="IB108" s="113"/>
      <c r="IC108" s="113"/>
      <c r="ID108" s="113"/>
      <c r="IE108" s="113"/>
      <c r="IF108" s="115"/>
      <c r="IG108" s="113"/>
      <c r="IH108" s="113"/>
      <c r="II108" s="113"/>
      <c r="IJ108" s="113"/>
      <c r="IK108" s="113"/>
      <c r="IL108" s="113"/>
      <c r="IM108" s="113"/>
      <c r="IN108" s="113"/>
      <c r="IO108" s="113"/>
      <c r="IP108" s="113"/>
      <c r="IQ108" s="113"/>
      <c r="IR108" s="113"/>
      <c r="IS108" s="113"/>
      <c r="IT108" s="115"/>
      <c r="IU108" s="113"/>
      <c r="IV108" s="113"/>
    </row>
    <row r="109" spans="1:256" ht="12.6" thickTop="1" x14ac:dyDescent="0.4"/>
    <row r="110" spans="1:256" x14ac:dyDescent="0.4">
      <c r="C110" s="1" t="s">
        <v>22</v>
      </c>
      <c r="G110" s="51"/>
      <c r="H110" s="51"/>
      <c r="I110" s="51"/>
      <c r="J110" s="51"/>
      <c r="K110" s="51"/>
      <c r="L110" s="51"/>
      <c r="M110" s="51"/>
    </row>
    <row r="111" spans="1:256" x14ac:dyDescent="0.4">
      <c r="C111" s="62" t="s">
        <v>23</v>
      </c>
      <c r="G111" s="52">
        <v>23646</v>
      </c>
      <c r="H111" s="51"/>
      <c r="I111" s="51"/>
      <c r="J111" s="51"/>
      <c r="K111" s="51"/>
      <c r="L111" s="51"/>
      <c r="M111" s="51"/>
    </row>
    <row r="112" spans="1:256" x14ac:dyDescent="0.4">
      <c r="C112" s="62" t="s">
        <v>25</v>
      </c>
      <c r="G112" s="52">
        <v>28184</v>
      </c>
      <c r="H112" s="51"/>
      <c r="I112" s="51"/>
      <c r="J112" s="51"/>
      <c r="K112" s="51"/>
      <c r="L112" s="51"/>
      <c r="M112" s="51"/>
    </row>
    <row r="113" spans="1:256" x14ac:dyDescent="0.4">
      <c r="C113" s="62" t="s">
        <v>26</v>
      </c>
      <c r="G113" s="52">
        <v>4946</v>
      </c>
      <c r="H113" s="51"/>
      <c r="I113" s="51"/>
      <c r="J113" s="51"/>
      <c r="K113" s="51"/>
      <c r="L113" s="51"/>
      <c r="M113" s="51"/>
    </row>
    <row r="114" spans="1:256" x14ac:dyDescent="0.4">
      <c r="C114" s="62" t="s">
        <v>24</v>
      </c>
      <c r="G114" s="52">
        <v>145463</v>
      </c>
      <c r="H114" s="51"/>
      <c r="I114" s="51"/>
      <c r="J114" s="51"/>
      <c r="K114" s="51"/>
      <c r="L114" s="51"/>
      <c r="M114" s="51"/>
    </row>
    <row r="115" spans="1:256" x14ac:dyDescent="0.4">
      <c r="C115" s="62" t="s">
        <v>27</v>
      </c>
      <c r="G115" s="52">
        <v>42117</v>
      </c>
      <c r="H115" s="51"/>
      <c r="I115" s="51"/>
      <c r="J115" s="51"/>
      <c r="K115" s="51"/>
      <c r="L115" s="51"/>
      <c r="M115" s="51"/>
    </row>
    <row r="116" spans="1:256" x14ac:dyDescent="0.4">
      <c r="C116" s="62" t="s">
        <v>87</v>
      </c>
      <c r="G116" s="52">
        <v>108399</v>
      </c>
      <c r="H116" s="51"/>
      <c r="I116" s="51"/>
      <c r="J116" s="51"/>
      <c r="K116" s="51"/>
      <c r="L116" s="51"/>
      <c r="M116" s="51"/>
    </row>
    <row r="117" spans="1:256" ht="12.6" thickBot="1" x14ac:dyDescent="0.45">
      <c r="C117" s="66" t="s">
        <v>28</v>
      </c>
      <c r="D117" s="66"/>
      <c r="E117" s="66"/>
      <c r="F117" s="66"/>
      <c r="G117" s="105">
        <f>SUM(G111:G116)</f>
        <v>352755</v>
      </c>
      <c r="H117" s="51"/>
      <c r="I117" s="51"/>
      <c r="J117" s="51"/>
      <c r="K117" s="51"/>
      <c r="L117" s="51"/>
      <c r="M117" s="51"/>
    </row>
    <row r="118" spans="1:256" x14ac:dyDescent="0.4">
      <c r="G118" s="51"/>
      <c r="H118" s="51"/>
      <c r="I118" s="51"/>
      <c r="J118" s="51"/>
      <c r="K118" s="51"/>
      <c r="L118" s="51"/>
      <c r="M118" s="51"/>
    </row>
    <row r="119" spans="1:256" x14ac:dyDescent="0.4">
      <c r="C119" s="1" t="s">
        <v>29</v>
      </c>
      <c r="G119" s="51"/>
      <c r="H119" s="51"/>
      <c r="I119" s="51"/>
      <c r="J119" s="51"/>
      <c r="K119" s="51"/>
      <c r="L119" s="51"/>
      <c r="M119" s="51"/>
    </row>
    <row r="120" spans="1:256" x14ac:dyDescent="0.4">
      <c r="C120" s="62" t="s">
        <v>30</v>
      </c>
      <c r="G120" s="52">
        <v>64115</v>
      </c>
      <c r="H120" s="51"/>
      <c r="I120" s="51"/>
      <c r="J120" s="51"/>
      <c r="K120" s="51"/>
      <c r="L120" s="51"/>
      <c r="M120" s="51"/>
    </row>
    <row r="121" spans="1:256" x14ac:dyDescent="0.4">
      <c r="C121" s="63" t="s">
        <v>187</v>
      </c>
      <c r="G121" s="52">
        <v>127881</v>
      </c>
      <c r="H121" s="51"/>
      <c r="I121" s="51"/>
      <c r="J121" s="51"/>
      <c r="K121" s="51"/>
      <c r="L121" s="51"/>
      <c r="M121" s="51"/>
    </row>
    <row r="122" spans="1:256" x14ac:dyDescent="0.4">
      <c r="C122" s="62" t="s">
        <v>31</v>
      </c>
      <c r="G122" s="52">
        <v>110087</v>
      </c>
      <c r="H122" s="51"/>
      <c r="I122" s="51"/>
      <c r="J122" s="51"/>
      <c r="K122" s="51"/>
      <c r="L122" s="51"/>
      <c r="M122" s="51"/>
    </row>
    <row r="123" spans="1:256" x14ac:dyDescent="0.4">
      <c r="C123" s="72" t="s">
        <v>32</v>
      </c>
      <c r="D123" s="68"/>
      <c r="E123" s="68"/>
      <c r="F123" s="68"/>
      <c r="G123" s="67">
        <f>SUM(G120:G122)</f>
        <v>302083</v>
      </c>
      <c r="H123" s="51"/>
      <c r="I123" s="51"/>
      <c r="J123" s="51"/>
      <c r="K123" s="51"/>
      <c r="L123" s="51"/>
      <c r="M123" s="51"/>
    </row>
    <row r="124" spans="1:256" x14ac:dyDescent="0.4">
      <c r="G124" s="51"/>
      <c r="H124" s="51"/>
      <c r="I124" s="51"/>
      <c r="J124" s="51"/>
      <c r="K124" s="51"/>
      <c r="L124" s="51"/>
      <c r="M124" s="51"/>
    </row>
    <row r="125" spans="1:256" x14ac:dyDescent="0.4">
      <c r="C125" s="62" t="s">
        <v>33</v>
      </c>
      <c r="G125" s="52">
        <v>50672</v>
      </c>
      <c r="H125" s="51"/>
      <c r="I125" s="51"/>
      <c r="J125" s="51"/>
      <c r="K125" s="51"/>
      <c r="L125" s="51"/>
      <c r="M125" s="51"/>
    </row>
    <row r="126" spans="1:256" ht="12.6" thickBot="1" x14ac:dyDescent="0.45">
      <c r="C126" s="66" t="s">
        <v>34</v>
      </c>
      <c r="D126" s="66"/>
      <c r="E126" s="66"/>
      <c r="F126" s="66"/>
      <c r="G126" s="105">
        <f>G123+G125</f>
        <v>352755</v>
      </c>
      <c r="H126" s="51"/>
      <c r="I126" s="51"/>
      <c r="J126" s="51"/>
      <c r="K126" s="51"/>
      <c r="L126" s="51"/>
      <c r="M126" s="51"/>
    </row>
    <row r="127" spans="1:256" x14ac:dyDescent="0.4">
      <c r="G127" s="51"/>
      <c r="H127" s="51"/>
      <c r="I127" s="51"/>
      <c r="J127" s="51"/>
      <c r="K127" s="51"/>
      <c r="L127" s="51"/>
      <c r="M127" s="51"/>
    </row>
    <row r="128" spans="1:256" s="86" customFormat="1" ht="12.6" thickBot="1" x14ac:dyDescent="0.45">
      <c r="A128" s="113"/>
      <c r="B128" s="115" t="s">
        <v>40</v>
      </c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5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5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5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5"/>
      <c r="BG128" s="113"/>
      <c r="BH128" s="113"/>
      <c r="BI128" s="113"/>
      <c r="BJ128" s="113"/>
      <c r="BK128" s="113"/>
      <c r="BL128" s="113"/>
      <c r="BM128" s="113"/>
      <c r="BN128" s="113"/>
      <c r="BO128" s="113"/>
      <c r="BP128" s="113"/>
      <c r="BQ128" s="113"/>
      <c r="BR128" s="113"/>
      <c r="BS128" s="113"/>
      <c r="BT128" s="115"/>
      <c r="BU128" s="113"/>
      <c r="BV128" s="113"/>
      <c r="BW128" s="113"/>
      <c r="BX128" s="113"/>
      <c r="BY128" s="113"/>
      <c r="BZ128" s="113"/>
      <c r="CA128" s="113"/>
      <c r="CB128" s="113"/>
      <c r="CC128" s="113"/>
      <c r="CD128" s="113"/>
      <c r="CE128" s="113"/>
      <c r="CF128" s="113"/>
      <c r="CG128" s="113"/>
      <c r="CH128" s="115"/>
      <c r="CI128" s="113"/>
      <c r="CJ128" s="113"/>
      <c r="CK128" s="113"/>
      <c r="CL128" s="113"/>
      <c r="CM128" s="113"/>
      <c r="CN128" s="113"/>
      <c r="CO128" s="113"/>
      <c r="CP128" s="113"/>
      <c r="CQ128" s="113"/>
      <c r="CR128" s="113"/>
      <c r="CS128" s="113"/>
      <c r="CT128" s="113"/>
      <c r="CU128" s="113"/>
      <c r="CV128" s="115"/>
      <c r="CW128" s="113"/>
      <c r="CX128" s="113"/>
      <c r="CY128" s="113"/>
      <c r="CZ128" s="113"/>
      <c r="DA128" s="113"/>
      <c r="DB128" s="113"/>
      <c r="DC128" s="113"/>
      <c r="DD128" s="113"/>
      <c r="DE128" s="113"/>
      <c r="DF128" s="113"/>
      <c r="DG128" s="113"/>
      <c r="DH128" s="113"/>
      <c r="DI128" s="113"/>
      <c r="DJ128" s="115"/>
      <c r="DK128" s="113"/>
      <c r="DL128" s="113"/>
      <c r="DM128" s="113"/>
      <c r="DN128" s="113"/>
      <c r="DO128" s="113"/>
      <c r="DP128" s="113"/>
      <c r="DQ128" s="113"/>
      <c r="DR128" s="113"/>
      <c r="DS128" s="113"/>
      <c r="DT128" s="113"/>
      <c r="DU128" s="113"/>
      <c r="DV128" s="113"/>
      <c r="DW128" s="113"/>
      <c r="DX128" s="115"/>
      <c r="DY128" s="113"/>
      <c r="DZ128" s="113"/>
      <c r="EA128" s="113"/>
      <c r="EB128" s="113"/>
      <c r="EC128" s="113"/>
      <c r="ED128" s="113"/>
      <c r="EE128" s="113"/>
      <c r="EF128" s="113"/>
      <c r="EG128" s="113"/>
      <c r="EH128" s="113"/>
      <c r="EI128" s="113"/>
      <c r="EJ128" s="113"/>
      <c r="EK128" s="113"/>
      <c r="EL128" s="115"/>
      <c r="EM128" s="113"/>
      <c r="EN128" s="113"/>
      <c r="EO128" s="113"/>
      <c r="EP128" s="113"/>
      <c r="EQ128" s="113"/>
      <c r="ER128" s="113"/>
      <c r="ES128" s="113"/>
      <c r="ET128" s="113"/>
      <c r="EU128" s="113"/>
      <c r="EV128" s="113"/>
      <c r="EW128" s="113"/>
      <c r="EX128" s="113"/>
      <c r="EY128" s="113"/>
      <c r="EZ128" s="115"/>
      <c r="FA128" s="113"/>
      <c r="FB128" s="113"/>
      <c r="FC128" s="113"/>
      <c r="FD128" s="113"/>
      <c r="FE128" s="113"/>
      <c r="FF128" s="113"/>
      <c r="FG128" s="113"/>
      <c r="FH128" s="113"/>
      <c r="FI128" s="113"/>
      <c r="FJ128" s="113"/>
      <c r="FK128" s="113"/>
      <c r="FL128" s="113"/>
      <c r="FM128" s="113"/>
      <c r="FN128" s="115"/>
      <c r="FO128" s="113"/>
      <c r="FP128" s="113"/>
      <c r="FQ128" s="113"/>
      <c r="FR128" s="113"/>
      <c r="FS128" s="113"/>
      <c r="FT128" s="113"/>
      <c r="FU128" s="113"/>
      <c r="FV128" s="113"/>
      <c r="FW128" s="113"/>
      <c r="FX128" s="113"/>
      <c r="FY128" s="113"/>
      <c r="FZ128" s="113"/>
      <c r="GA128" s="113"/>
      <c r="GB128" s="115"/>
      <c r="GC128" s="113"/>
      <c r="GD128" s="113"/>
      <c r="GE128" s="113"/>
      <c r="GF128" s="113"/>
      <c r="GG128" s="113"/>
      <c r="GH128" s="113"/>
      <c r="GI128" s="113"/>
      <c r="GJ128" s="113"/>
      <c r="GK128" s="113"/>
      <c r="GL128" s="113"/>
      <c r="GM128" s="113"/>
      <c r="GN128" s="113"/>
      <c r="GO128" s="113"/>
      <c r="GP128" s="115"/>
      <c r="GQ128" s="113"/>
      <c r="GR128" s="113"/>
      <c r="GS128" s="113"/>
      <c r="GT128" s="113"/>
      <c r="GU128" s="113"/>
      <c r="GV128" s="113"/>
      <c r="GW128" s="113"/>
      <c r="GX128" s="113"/>
      <c r="GY128" s="113"/>
      <c r="GZ128" s="113"/>
      <c r="HA128" s="113"/>
      <c r="HB128" s="113"/>
      <c r="HC128" s="113"/>
      <c r="HD128" s="115"/>
      <c r="HE128" s="113"/>
      <c r="HF128" s="113"/>
      <c r="HG128" s="113"/>
      <c r="HH128" s="113"/>
      <c r="HI128" s="113"/>
      <c r="HJ128" s="113"/>
      <c r="HK128" s="113"/>
      <c r="HL128" s="113"/>
      <c r="HM128" s="113"/>
      <c r="HN128" s="113"/>
      <c r="HO128" s="113"/>
      <c r="HP128" s="113"/>
      <c r="HQ128" s="113"/>
      <c r="HR128" s="115"/>
      <c r="HS128" s="113"/>
      <c r="HT128" s="113"/>
      <c r="HU128" s="113"/>
      <c r="HV128" s="113"/>
      <c r="HW128" s="113"/>
      <c r="HX128" s="113"/>
      <c r="HY128" s="113"/>
      <c r="HZ128" s="113"/>
      <c r="IA128" s="113"/>
      <c r="IB128" s="113"/>
      <c r="IC128" s="113"/>
      <c r="ID128" s="113"/>
      <c r="IE128" s="113"/>
      <c r="IF128" s="115"/>
      <c r="IG128" s="113"/>
      <c r="IH128" s="113"/>
      <c r="II128" s="113"/>
      <c r="IJ128" s="113"/>
      <c r="IK128" s="113"/>
      <c r="IL128" s="113"/>
      <c r="IM128" s="113"/>
      <c r="IN128" s="113"/>
      <c r="IO128" s="113"/>
      <c r="IP128" s="113"/>
      <c r="IQ128" s="113"/>
      <c r="IR128" s="113"/>
      <c r="IS128" s="113"/>
      <c r="IT128" s="115"/>
      <c r="IU128" s="113"/>
      <c r="IV128" s="113"/>
    </row>
    <row r="129" ht="12.6" thickTop="1" x14ac:dyDescent="0.4"/>
  </sheetData>
  <dataValidations disablePrompts="1" count="1">
    <dataValidation type="list" allowBlank="1" showInputMessage="1" showErrorMessage="1" sqref="C16" xr:uid="{00000000-0002-0000-0300-000000000000}">
      <formula1>$C$17:$C$18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theme="5"/>
  </sheetPr>
  <dimension ref="A2:N148"/>
  <sheetViews>
    <sheetView showGridLines="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B40" sqref="B40"/>
    </sheetView>
  </sheetViews>
  <sheetFormatPr defaultColWidth="0" defaultRowHeight="12.3" x14ac:dyDescent="0.4"/>
  <cols>
    <col min="1" max="1" width="2.83203125" customWidth="1"/>
    <col min="2" max="3" width="9.1640625" customWidth="1"/>
    <col min="4" max="4" width="16.21875" customWidth="1"/>
    <col min="5" max="6" width="9.1640625" customWidth="1"/>
    <col min="7" max="7" width="10.6640625" customWidth="1"/>
    <col min="8" max="13" width="11" bestFit="1" customWidth="1"/>
    <col min="14" max="14" width="9.1640625" customWidth="1"/>
  </cols>
  <sheetData>
    <row r="2" spans="1:14" x14ac:dyDescent="0.4">
      <c r="B2" s="4" t="s">
        <v>178</v>
      </c>
    </row>
    <row r="3" spans="1:14" x14ac:dyDescent="0.4">
      <c r="B3" s="4" t="s">
        <v>39</v>
      </c>
    </row>
    <row r="4" spans="1:14" x14ac:dyDescent="0.4">
      <c r="B4" s="5" t="str">
        <f>model_date</f>
        <v>October 31, 2022</v>
      </c>
      <c r="G4" s="25" t="str">
        <f>'3. Inputs'!G4</f>
        <v>Actual</v>
      </c>
      <c r="H4" s="25" t="str">
        <f>'3. Inputs'!H4</f>
        <v>Forecast</v>
      </c>
      <c r="I4" s="25" t="str">
        <f>'3. Inputs'!I4</f>
        <v>Forecast</v>
      </c>
      <c r="J4" s="25" t="str">
        <f>'3. Inputs'!J4</f>
        <v>Forecast</v>
      </c>
      <c r="K4" s="25" t="str">
        <f>'3. Inputs'!K4</f>
        <v>Forecast</v>
      </c>
      <c r="L4" s="25" t="str">
        <f>'3. Inputs'!L4</f>
        <v>Forecast</v>
      </c>
    </row>
    <row r="5" spans="1:14" x14ac:dyDescent="0.4">
      <c r="B5" s="4" t="s">
        <v>35</v>
      </c>
      <c r="G5" s="7">
        <f>'3. Inputs'!G5</f>
        <v>2022</v>
      </c>
      <c r="H5" s="7">
        <f>'3. Inputs'!H5</f>
        <v>2023</v>
      </c>
      <c r="I5" s="7">
        <f>'3. Inputs'!I5</f>
        <v>2024</v>
      </c>
      <c r="J5" s="7">
        <f>'3. Inputs'!J5</f>
        <v>2025</v>
      </c>
      <c r="K5" s="7">
        <f>'3. Inputs'!K5</f>
        <v>2026</v>
      </c>
      <c r="L5" s="7">
        <f>'3. Inputs'!L5</f>
        <v>2027</v>
      </c>
      <c r="M5" s="4"/>
      <c r="N5" s="4"/>
    </row>
    <row r="8" spans="1:14" s="86" customFormat="1" ht="12.6" thickBot="1" x14ac:dyDescent="0.45">
      <c r="A8" s="113"/>
      <c r="B8" s="114" t="s">
        <v>204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</row>
    <row r="9" spans="1:14" s="33" customFormat="1" ht="12.6" thickTop="1" x14ac:dyDescent="0.4">
      <c r="B9" s="93"/>
    </row>
    <row r="10" spans="1:14" x14ac:dyDescent="0.4">
      <c r="C10" s="4" t="s">
        <v>10</v>
      </c>
      <c r="D10" s="1" t="s">
        <v>0</v>
      </c>
      <c r="E10" s="1" t="s">
        <v>0</v>
      </c>
    </row>
    <row r="11" spans="1:14" x14ac:dyDescent="0.4">
      <c r="C11" s="1" t="s">
        <v>2</v>
      </c>
    </row>
    <row r="12" spans="1:14" x14ac:dyDescent="0.4">
      <c r="D12" t="s">
        <v>67</v>
      </c>
      <c r="E12" s="1" t="s">
        <v>0</v>
      </c>
      <c r="H12" s="41">
        <f>'2. Financial Stmts'!G11</f>
        <v>316199</v>
      </c>
      <c r="I12" s="41">
        <f>H14</f>
        <v>335170.94</v>
      </c>
      <c r="J12" s="41">
        <f>I14</f>
        <v>355281.19640000002</v>
      </c>
      <c r="K12" s="41">
        <f>J14</f>
        <v>429890.24764399999</v>
      </c>
      <c r="L12" s="41">
        <f>K14</f>
        <v>451384.76002620003</v>
      </c>
      <c r="M12" s="41"/>
    </row>
    <row r="13" spans="1:14" x14ac:dyDescent="0.4">
      <c r="D13" t="s">
        <v>68</v>
      </c>
      <c r="E13" s="1" t="s">
        <v>0</v>
      </c>
      <c r="H13" s="42">
        <f>H19</f>
        <v>0.06</v>
      </c>
      <c r="I13" s="42">
        <f>I19</f>
        <v>0.06</v>
      </c>
      <c r="J13" s="42">
        <f>J19</f>
        <v>0.21</v>
      </c>
      <c r="K13" s="42">
        <f>K19</f>
        <v>0.05</v>
      </c>
      <c r="L13" s="42">
        <f>L19</f>
        <v>0.05</v>
      </c>
      <c r="M13" s="42"/>
    </row>
    <row r="14" spans="1:14" x14ac:dyDescent="0.4">
      <c r="D14" s="15" t="s">
        <v>69</v>
      </c>
      <c r="E14" s="27" t="s">
        <v>0</v>
      </c>
      <c r="F14" s="15"/>
      <c r="G14" s="15"/>
      <c r="H14" s="28">
        <f>H12*(1+H13)</f>
        <v>335170.94</v>
      </c>
      <c r="I14" s="28">
        <f>I12*(1+I13)</f>
        <v>355281.19640000002</v>
      </c>
      <c r="J14" s="28">
        <f>J12*(1+J13)</f>
        <v>429890.24764399999</v>
      </c>
      <c r="K14" s="28">
        <f>K12*(1+K13)</f>
        <v>451384.76002620003</v>
      </c>
      <c r="L14" s="28">
        <f>L12*(1+L13)</f>
        <v>473953.99802751007</v>
      </c>
      <c r="M14" s="11"/>
    </row>
    <row r="16" spans="1:14" x14ac:dyDescent="0.4">
      <c r="C16" t="s">
        <v>189</v>
      </c>
    </row>
    <row r="17" spans="3:13" x14ac:dyDescent="0.4">
      <c r="D17" t="s">
        <v>190</v>
      </c>
      <c r="H17" s="8">
        <f>'3. Inputs'!H30</f>
        <v>0.06</v>
      </c>
      <c r="I17" s="8">
        <f>'3. Inputs'!I30</f>
        <v>0.06</v>
      </c>
      <c r="J17" s="8">
        <f>'3. Inputs'!J30</f>
        <v>0.06</v>
      </c>
      <c r="K17" s="8">
        <f>'3. Inputs'!K30</f>
        <v>0.05</v>
      </c>
      <c r="L17" s="8">
        <f>'3. Inputs'!L30</f>
        <v>0.05</v>
      </c>
    </row>
    <row r="18" spans="3:13" x14ac:dyDescent="0.4">
      <c r="D18" t="s">
        <v>191</v>
      </c>
      <c r="H18" s="18">
        <f>'3. Inputs'!$F$33*'4. Calculations'!H21</f>
        <v>0</v>
      </c>
      <c r="I18" s="18">
        <f>'3. Inputs'!$F$33*'4. Calculations'!I21</f>
        <v>0</v>
      </c>
      <c r="J18" s="18">
        <f>'3. Inputs'!$F$33*'4. Calculations'!J21</f>
        <v>0.15</v>
      </c>
      <c r="K18" s="18">
        <f>'3. Inputs'!$F$33*'4. Calculations'!K21</f>
        <v>0</v>
      </c>
      <c r="L18" s="18">
        <f>'3. Inputs'!$F$33*'4. Calculations'!L21</f>
        <v>0</v>
      </c>
    </row>
    <row r="19" spans="3:13" x14ac:dyDescent="0.4">
      <c r="D19" s="15" t="s">
        <v>192</v>
      </c>
      <c r="E19" s="15"/>
      <c r="F19" s="15"/>
      <c r="G19" s="15"/>
      <c r="H19" s="107">
        <f>SUM(H17:H18)</f>
        <v>0.06</v>
      </c>
      <c r="I19" s="107">
        <f>SUM(I17:I18)</f>
        <v>0.06</v>
      </c>
      <c r="J19" s="107">
        <f>SUM(J17:J18)</f>
        <v>0.21</v>
      </c>
      <c r="K19" s="107">
        <f>SUM(K17:K18)</f>
        <v>0.05</v>
      </c>
      <c r="L19" s="107">
        <f>SUM(L17:L18)</f>
        <v>0.05</v>
      </c>
    </row>
    <row r="21" spans="3:13" x14ac:dyDescent="0.4">
      <c r="D21" t="s">
        <v>193</v>
      </c>
      <c r="H21">
        <f>IF('3. Inputs'!$F$34='4. Calculations'!H5,1,0)</f>
        <v>0</v>
      </c>
      <c r="I21">
        <f>IF('3. Inputs'!$F$34='4. Calculations'!I5,1,0)</f>
        <v>0</v>
      </c>
      <c r="J21">
        <f>IF('3. Inputs'!$F$34='4. Calculations'!J5,1,0)</f>
        <v>1</v>
      </c>
      <c r="K21">
        <f>IF('3. Inputs'!$F$34='4. Calculations'!K5,1,0)</f>
        <v>0</v>
      </c>
      <c r="L21">
        <f>IF('3. Inputs'!$F$34='4. Calculations'!L5,1,0)</f>
        <v>0</v>
      </c>
    </row>
    <row r="23" spans="3:13" x14ac:dyDescent="0.4">
      <c r="C23" s="1" t="s">
        <v>3</v>
      </c>
      <c r="E23" s="1" t="s">
        <v>0</v>
      </c>
    </row>
    <row r="24" spans="3:13" x14ac:dyDescent="0.4">
      <c r="C24" s="1"/>
      <c r="D24" t="s">
        <v>67</v>
      </c>
      <c r="E24" s="1" t="s">
        <v>0</v>
      </c>
      <c r="H24" s="11">
        <f>'2. Financial Stmts'!G12</f>
        <v>78129</v>
      </c>
      <c r="I24" s="11">
        <f>H26</f>
        <v>89848.349999999991</v>
      </c>
      <c r="J24" s="11">
        <f>I26</f>
        <v>100630.152</v>
      </c>
      <c r="K24" s="11">
        <f>J26</f>
        <v>110693.16720000001</v>
      </c>
      <c r="L24" s="11">
        <f>K26</f>
        <v>119548.62057600002</v>
      </c>
      <c r="M24" s="11"/>
    </row>
    <row r="25" spans="3:13" x14ac:dyDescent="0.4">
      <c r="D25" t="s">
        <v>68</v>
      </c>
      <c r="E25" s="1" t="s">
        <v>0</v>
      </c>
      <c r="H25" s="8">
        <f>'3. Inputs'!H31</f>
        <v>0.15</v>
      </c>
      <c r="I25" s="8">
        <f>'3. Inputs'!I31</f>
        <v>0.12</v>
      </c>
      <c r="J25" s="8">
        <f>'3. Inputs'!J31</f>
        <v>0.1</v>
      </c>
      <c r="K25" s="8">
        <f>'3. Inputs'!K31</f>
        <v>0.08</v>
      </c>
      <c r="L25" s="8">
        <f>'3. Inputs'!L31</f>
        <v>0.05</v>
      </c>
      <c r="M25" s="8"/>
    </row>
    <row r="26" spans="3:13" x14ac:dyDescent="0.4">
      <c r="D26" s="15" t="s">
        <v>69</v>
      </c>
      <c r="E26" s="27" t="s">
        <v>0</v>
      </c>
      <c r="F26" s="15"/>
      <c r="G26" s="15"/>
      <c r="H26" s="28">
        <f>H24*(1+H25)</f>
        <v>89848.349999999991</v>
      </c>
      <c r="I26" s="28">
        <f>I24*(1+I25)</f>
        <v>100630.152</v>
      </c>
      <c r="J26" s="28">
        <f>J24*(1+J25)</f>
        <v>110693.16720000001</v>
      </c>
      <c r="K26" s="28">
        <f>K24*(1+K25)</f>
        <v>119548.62057600002</v>
      </c>
      <c r="L26" s="28">
        <f>L24*(1+L25)</f>
        <v>125526.05160480003</v>
      </c>
      <c r="M26" s="11"/>
    </row>
    <row r="28" spans="3:13" x14ac:dyDescent="0.4">
      <c r="C28" s="10" t="s">
        <v>73</v>
      </c>
      <c r="D28" s="10"/>
      <c r="E28" s="10"/>
      <c r="F28" s="10"/>
      <c r="G28" s="10"/>
      <c r="H28" s="39">
        <f>H14+H26</f>
        <v>425019.29</v>
      </c>
      <c r="I28" s="39">
        <f>I14+I26</f>
        <v>455911.34840000002</v>
      </c>
      <c r="J28" s="39">
        <f>J14+J26</f>
        <v>540583.41484400001</v>
      </c>
      <c r="K28" s="39">
        <f>K14+K26</f>
        <v>570933.38060220005</v>
      </c>
      <c r="L28" s="39">
        <f>L14+L26</f>
        <v>599480.04963231005</v>
      </c>
      <c r="M28" s="26"/>
    </row>
    <row r="30" spans="3:13" x14ac:dyDescent="0.4">
      <c r="C30" s="4" t="s">
        <v>11</v>
      </c>
      <c r="E30" s="1" t="s">
        <v>0</v>
      </c>
    </row>
    <row r="31" spans="3:13" x14ac:dyDescent="0.4">
      <c r="C31" s="1" t="s">
        <v>2</v>
      </c>
      <c r="E31" s="1" t="s">
        <v>0</v>
      </c>
    </row>
    <row r="32" spans="3:13" x14ac:dyDescent="0.4">
      <c r="D32" t="s">
        <v>70</v>
      </c>
      <c r="E32" s="1" t="s">
        <v>0</v>
      </c>
      <c r="H32" s="26">
        <f>H14</f>
        <v>335170.94</v>
      </c>
      <c r="I32" s="26">
        <f>I14</f>
        <v>355281.19640000002</v>
      </c>
      <c r="J32" s="26">
        <f>J14</f>
        <v>429890.24764399999</v>
      </c>
      <c r="K32" s="26">
        <f>K14</f>
        <v>451384.76002620003</v>
      </c>
      <c r="L32" s="26">
        <f>L14</f>
        <v>473953.99802751007</v>
      </c>
      <c r="M32" s="26"/>
    </row>
    <row r="33" spans="3:13" x14ac:dyDescent="0.4">
      <c r="D33" t="s">
        <v>71</v>
      </c>
      <c r="H33" s="8">
        <f>'3. Inputs'!H37</f>
        <v>0.63716520292600543</v>
      </c>
      <c r="I33" s="8">
        <f>'3. Inputs'!I37</f>
        <v>0.63716520292600543</v>
      </c>
      <c r="J33" s="8">
        <f>'3. Inputs'!J37</f>
        <v>0.63716520292600543</v>
      </c>
      <c r="K33" s="8">
        <f>'3. Inputs'!K37</f>
        <v>0.63716520292600543</v>
      </c>
      <c r="L33" s="8">
        <f>'3. Inputs'!L37</f>
        <v>0.63716520292600543</v>
      </c>
      <c r="M33" s="8"/>
    </row>
    <row r="34" spans="3:13" x14ac:dyDescent="0.4">
      <c r="D34" s="15" t="s">
        <v>72</v>
      </c>
      <c r="E34" s="28" t="s">
        <v>0</v>
      </c>
      <c r="F34" s="28"/>
      <c r="G34" s="28"/>
      <c r="H34" s="28">
        <f>H32*H33</f>
        <v>213559.25999999998</v>
      </c>
      <c r="I34" s="28">
        <f>I32*I33</f>
        <v>226372.8156</v>
      </c>
      <c r="J34" s="28">
        <f>J32*J33</f>
        <v>273911.10687600001</v>
      </c>
      <c r="K34" s="28">
        <f>K32*K33</f>
        <v>287606.6622198</v>
      </c>
      <c r="L34" s="28">
        <f>L32*L33</f>
        <v>301986.99533079</v>
      </c>
      <c r="M34" s="17"/>
    </row>
    <row r="35" spans="3:13" x14ac:dyDescent="0.4">
      <c r="C35" s="1" t="s">
        <v>3</v>
      </c>
      <c r="E35" s="1" t="s">
        <v>0</v>
      </c>
    </row>
    <row r="36" spans="3:13" x14ac:dyDescent="0.4">
      <c r="D36" t="s">
        <v>70</v>
      </c>
      <c r="E36" s="1" t="s">
        <v>0</v>
      </c>
      <c r="H36" s="26">
        <f>H26</f>
        <v>89848.349999999991</v>
      </c>
      <c r="I36" s="26">
        <f>I26</f>
        <v>100630.152</v>
      </c>
      <c r="J36" s="26">
        <f>J26</f>
        <v>110693.16720000001</v>
      </c>
      <c r="K36" s="26">
        <f>K26</f>
        <v>119548.62057600002</v>
      </c>
      <c r="L36" s="26">
        <f>L26</f>
        <v>125526.05160480003</v>
      </c>
      <c r="M36" s="26"/>
    </row>
    <row r="37" spans="3:13" x14ac:dyDescent="0.4">
      <c r="D37" t="s">
        <v>71</v>
      </c>
      <c r="H37" s="8">
        <f>'3. Inputs'!G38</f>
        <v>0.28254553366867619</v>
      </c>
      <c r="I37" s="8">
        <f>'3. Inputs'!H38</f>
        <v>0.28254553366867619</v>
      </c>
      <c r="J37" s="8">
        <f>'3. Inputs'!I38</f>
        <v>0.28254553366867619</v>
      </c>
      <c r="K37" s="8">
        <f>'3. Inputs'!J38</f>
        <v>0.28254553366867619</v>
      </c>
      <c r="L37" s="8">
        <f>'3. Inputs'!K38</f>
        <v>0.28254553366867619</v>
      </c>
      <c r="M37" s="8"/>
    </row>
    <row r="38" spans="3:13" x14ac:dyDescent="0.4">
      <c r="D38" s="15" t="s">
        <v>72</v>
      </c>
      <c r="E38" s="27" t="s">
        <v>0</v>
      </c>
      <c r="F38" s="15"/>
      <c r="G38" s="15"/>
      <c r="H38" s="57">
        <f>H36*H37</f>
        <v>25386.25</v>
      </c>
      <c r="I38" s="57">
        <f>I36*I37</f>
        <v>28432.600000000002</v>
      </c>
      <c r="J38" s="57">
        <f>J36*J37</f>
        <v>31275.860000000004</v>
      </c>
      <c r="K38" s="57">
        <f>K36*K37</f>
        <v>33777.928800000009</v>
      </c>
      <c r="L38" s="57">
        <f>L36*L37</f>
        <v>35466.825240000013</v>
      </c>
      <c r="M38" s="26"/>
    </row>
    <row r="39" spans="3:13" x14ac:dyDescent="0.4">
      <c r="H39" s="26"/>
      <c r="I39" s="26"/>
      <c r="J39" s="26"/>
      <c r="K39" s="26"/>
      <c r="L39" s="26"/>
      <c r="M39" s="26"/>
    </row>
    <row r="40" spans="3:13" x14ac:dyDescent="0.4">
      <c r="C40" s="29" t="s">
        <v>12</v>
      </c>
      <c r="D40" s="10"/>
      <c r="E40" s="90" t="s">
        <v>0</v>
      </c>
      <c r="F40" s="10"/>
      <c r="G40" s="10"/>
      <c r="H40" s="39">
        <f>H34+H38</f>
        <v>238945.50999999998</v>
      </c>
      <c r="I40" s="39">
        <f>I34+I38</f>
        <v>254805.41560000001</v>
      </c>
      <c r="J40" s="39">
        <f>J34+J38</f>
        <v>305186.96687599999</v>
      </c>
      <c r="K40" s="39">
        <f>K34+K38</f>
        <v>321384.59101979999</v>
      </c>
      <c r="L40" s="39">
        <f>L34+L38</f>
        <v>337453.82057079003</v>
      </c>
      <c r="M40" s="26"/>
    </row>
    <row r="41" spans="3:13" x14ac:dyDescent="0.4">
      <c r="C41" s="1" t="s">
        <v>13</v>
      </c>
      <c r="E41" s="1" t="s">
        <v>0</v>
      </c>
      <c r="H41" s="26">
        <f>H28-H40</f>
        <v>186073.78</v>
      </c>
      <c r="I41" s="26">
        <f>I28-I40</f>
        <v>201105.93280000001</v>
      </c>
      <c r="J41" s="26">
        <f>J28-J40</f>
        <v>235396.44796800002</v>
      </c>
      <c r="K41" s="26">
        <f>K28-K40</f>
        <v>249548.78958240006</v>
      </c>
      <c r="L41" s="26">
        <f>L28-L40</f>
        <v>262026.22906152002</v>
      </c>
      <c r="M41" s="26"/>
    </row>
    <row r="42" spans="3:13" x14ac:dyDescent="0.4">
      <c r="H42" s="26"/>
      <c r="I42" s="26"/>
      <c r="J42" s="26"/>
      <c r="K42" s="26"/>
      <c r="L42" s="26"/>
      <c r="M42" s="26"/>
    </row>
    <row r="43" spans="3:13" x14ac:dyDescent="0.4">
      <c r="C43" s="4" t="s">
        <v>14</v>
      </c>
    </row>
    <row r="44" spans="3:13" x14ac:dyDescent="0.4">
      <c r="C44" s="1" t="s">
        <v>4</v>
      </c>
    </row>
    <row r="45" spans="3:13" x14ac:dyDescent="0.4">
      <c r="D45" t="s">
        <v>70</v>
      </c>
      <c r="E45" s="1" t="s">
        <v>0</v>
      </c>
      <c r="H45" s="26">
        <f>H28</f>
        <v>425019.29</v>
      </c>
      <c r="I45" s="26">
        <f>I28</f>
        <v>455911.34840000002</v>
      </c>
      <c r="J45" s="26">
        <f>J28</f>
        <v>540583.41484400001</v>
      </c>
      <c r="K45" s="26">
        <f>K28</f>
        <v>570933.38060220005</v>
      </c>
      <c r="L45" s="26">
        <f>L28</f>
        <v>599480.04963231005</v>
      </c>
      <c r="M45" s="26"/>
    </row>
    <row r="46" spans="3:13" x14ac:dyDescent="0.4">
      <c r="D46" t="s">
        <v>74</v>
      </c>
      <c r="H46" s="8">
        <f>'3. Inputs'!H41</f>
        <v>6.657148363798665E-2</v>
      </c>
      <c r="I46" s="8">
        <f>'3. Inputs'!I41</f>
        <v>6.657148363798665E-2</v>
      </c>
      <c r="J46" s="8">
        <f>'3. Inputs'!J41</f>
        <v>6.657148363798665E-2</v>
      </c>
      <c r="K46" s="8">
        <f>'3. Inputs'!K41</f>
        <v>6.657148363798665E-2</v>
      </c>
      <c r="L46" s="8">
        <f>'3. Inputs'!L41</f>
        <v>6.657148363798665E-2</v>
      </c>
      <c r="M46" s="8"/>
    </row>
    <row r="47" spans="3:13" x14ac:dyDescent="0.4">
      <c r="D47" s="15" t="s">
        <v>75</v>
      </c>
      <c r="E47" s="27" t="s">
        <v>0</v>
      </c>
      <c r="F47" s="15"/>
      <c r="G47" s="15"/>
      <c r="H47" s="57">
        <f>H45*H46</f>
        <v>28294.164710063702</v>
      </c>
      <c r="I47" s="57">
        <f>I45*I46</f>
        <v>30350.694870383031</v>
      </c>
      <c r="J47" s="57">
        <f>J45*J46</f>
        <v>35987.439956254297</v>
      </c>
      <c r="K47" s="57">
        <f>K45*K46</f>
        <v>38007.882205139766</v>
      </c>
      <c r="L47" s="57">
        <f>L45*L46</f>
        <v>39908.276315396753</v>
      </c>
      <c r="M47" s="26"/>
    </row>
    <row r="48" spans="3:13" x14ac:dyDescent="0.4">
      <c r="H48" s="26"/>
      <c r="I48" s="26"/>
      <c r="J48" s="26"/>
      <c r="K48" s="26"/>
      <c r="L48" s="26"/>
      <c r="M48" s="26"/>
    </row>
    <row r="49" spans="3:13" x14ac:dyDescent="0.4">
      <c r="C49" s="1" t="s">
        <v>5</v>
      </c>
    </row>
    <row r="50" spans="3:13" x14ac:dyDescent="0.4">
      <c r="D50" t="s">
        <v>67</v>
      </c>
      <c r="E50" s="1" t="s">
        <v>0</v>
      </c>
      <c r="H50" s="11">
        <f>'2. Financial Stmts'!G25</f>
        <v>25094</v>
      </c>
      <c r="I50" s="11">
        <f>H52</f>
        <v>26850.58</v>
      </c>
      <c r="J50" s="11">
        <f>I52</f>
        <v>28461.614800000003</v>
      </c>
      <c r="K50" s="11">
        <f>J52</f>
        <v>29884.695540000004</v>
      </c>
      <c r="L50" s="11">
        <f>K52</f>
        <v>30781.236406200005</v>
      </c>
      <c r="M50" s="11"/>
    </row>
    <row r="51" spans="3:13" x14ac:dyDescent="0.4">
      <c r="D51" t="s">
        <v>68</v>
      </c>
      <c r="E51" s="1" t="s">
        <v>0</v>
      </c>
      <c r="H51" s="8">
        <f>'3. Inputs'!H42</f>
        <v>7.0000000000000007E-2</v>
      </c>
      <c r="I51" s="8">
        <f>'3. Inputs'!I42</f>
        <v>0.06</v>
      </c>
      <c r="J51" s="8">
        <f>'3. Inputs'!J42</f>
        <v>0.05</v>
      </c>
      <c r="K51" s="8">
        <f>'3. Inputs'!K42</f>
        <v>0.03</v>
      </c>
      <c r="L51" s="8">
        <f>'3. Inputs'!L42</f>
        <v>0.02</v>
      </c>
      <c r="M51" s="8"/>
    </row>
    <row r="52" spans="3:13" x14ac:dyDescent="0.4">
      <c r="D52" s="15" t="s">
        <v>76</v>
      </c>
      <c r="E52" s="27" t="s">
        <v>0</v>
      </c>
      <c r="F52" s="15"/>
      <c r="G52" s="15"/>
      <c r="H52" s="28">
        <f>H50*(1+H51)</f>
        <v>26850.58</v>
      </c>
      <c r="I52" s="28">
        <f>I50*(1+I51)</f>
        <v>28461.614800000003</v>
      </c>
      <c r="J52" s="28">
        <f>J50*(1+J51)</f>
        <v>29884.695540000004</v>
      </c>
      <c r="K52" s="28">
        <f>K50*(1+K51)</f>
        <v>30781.236406200005</v>
      </c>
      <c r="L52" s="28">
        <f>L50*(1+L51)</f>
        <v>31396.861134324005</v>
      </c>
      <c r="M52" s="11"/>
    </row>
    <row r="54" spans="3:13" x14ac:dyDescent="0.4">
      <c r="C54" s="29" t="s">
        <v>6</v>
      </c>
      <c r="D54" s="10"/>
      <c r="E54" s="10"/>
      <c r="F54" s="10"/>
      <c r="G54" s="10"/>
      <c r="H54" s="39">
        <f>H47+H52</f>
        <v>55144.744710063707</v>
      </c>
      <c r="I54" s="39">
        <f>I47+I52</f>
        <v>58812.309670383038</v>
      </c>
      <c r="J54" s="39">
        <f>J47+J52</f>
        <v>65872.135496254297</v>
      </c>
      <c r="K54" s="39">
        <f>K47+K52</f>
        <v>68789.118611339771</v>
      </c>
      <c r="L54" s="39">
        <f>L47+L52</f>
        <v>71305.137449720758</v>
      </c>
      <c r="M54" s="26"/>
    </row>
    <row r="55" spans="3:13" x14ac:dyDescent="0.4">
      <c r="C55" s="1" t="s">
        <v>15</v>
      </c>
      <c r="H55" s="26">
        <f>H41-H54</f>
        <v>130929.03528993629</v>
      </c>
      <c r="I55" s="26">
        <f>I41-I54</f>
        <v>142293.62312961696</v>
      </c>
      <c r="J55" s="26">
        <f>J41-J54</f>
        <v>169524.31247174571</v>
      </c>
      <c r="K55" s="26">
        <f>K41-K54</f>
        <v>180759.67097106029</v>
      </c>
      <c r="L55" s="26">
        <f>L41-L54</f>
        <v>190721.09161179926</v>
      </c>
      <c r="M55" s="26"/>
    </row>
    <row r="56" spans="3:13" x14ac:dyDescent="0.4">
      <c r="H56" s="26"/>
      <c r="I56" s="26"/>
      <c r="J56" s="26"/>
      <c r="K56" s="26"/>
      <c r="L56" s="26"/>
    </row>
    <row r="57" spans="3:13" x14ac:dyDescent="0.4">
      <c r="C57" s="1" t="s">
        <v>8</v>
      </c>
      <c r="H57" s="19">
        <f>'3. Inputs'!H44</f>
        <v>-228</v>
      </c>
      <c r="I57" s="19">
        <f>'3. Inputs'!I44</f>
        <v>-228</v>
      </c>
      <c r="J57" s="19">
        <f>'3. Inputs'!J44</f>
        <v>-228</v>
      </c>
      <c r="K57" s="19">
        <f>'3. Inputs'!K44</f>
        <v>-228</v>
      </c>
      <c r="L57" s="19">
        <f>'3. Inputs'!L44</f>
        <v>-228</v>
      </c>
      <c r="M57" s="19"/>
    </row>
    <row r="58" spans="3:13" x14ac:dyDescent="0.4">
      <c r="C58" s="34" t="s">
        <v>153</v>
      </c>
      <c r="H58" s="19">
        <f>H97</f>
        <v>2909.26</v>
      </c>
      <c r="I58" s="19">
        <f>I97</f>
        <v>2909.26</v>
      </c>
      <c r="J58" s="19">
        <f>J97</f>
        <v>2909.26</v>
      </c>
      <c r="K58" s="19">
        <f>K97</f>
        <v>2909.26</v>
      </c>
      <c r="L58" s="19">
        <f>L97</f>
        <v>2909.26</v>
      </c>
      <c r="M58" s="19"/>
    </row>
    <row r="59" spans="3:13" x14ac:dyDescent="0.4">
      <c r="C59" s="34" t="s">
        <v>7</v>
      </c>
      <c r="H59" s="19">
        <f>-H126</f>
        <v>-3027.3924999999999</v>
      </c>
      <c r="I59" s="19">
        <f>-I126</f>
        <v>-3027.3924999999999</v>
      </c>
      <c r="J59" s="19">
        <f>-J126</f>
        <v>-3027.3924999999999</v>
      </c>
      <c r="K59" s="19">
        <f>-K126</f>
        <v>-3027.3924999999999</v>
      </c>
      <c r="L59" s="19">
        <f>-L126</f>
        <v>-3027.3924999999999</v>
      </c>
      <c r="M59" s="19"/>
    </row>
    <row r="60" spans="3:13" x14ac:dyDescent="0.4">
      <c r="C60" s="27" t="s">
        <v>16</v>
      </c>
      <c r="D60" s="15"/>
      <c r="E60" s="15"/>
      <c r="F60" s="15"/>
      <c r="G60" s="15"/>
      <c r="H60" s="57">
        <f>SUM(H55:H59)</f>
        <v>130582.9027899363</v>
      </c>
      <c r="I60" s="57">
        <f>SUM(I55:I59)</f>
        <v>141947.49062961698</v>
      </c>
      <c r="J60" s="57">
        <f>SUM(J55:J59)</f>
        <v>169178.17997174573</v>
      </c>
      <c r="K60" s="57">
        <f>SUM(K55:K59)</f>
        <v>180413.53847106031</v>
      </c>
      <c r="L60" s="57">
        <f>SUM(L55:L59)</f>
        <v>190374.95911179928</v>
      </c>
      <c r="M60" s="26"/>
    </row>
    <row r="61" spans="3:13" x14ac:dyDescent="0.4">
      <c r="C61" s="1" t="s">
        <v>9</v>
      </c>
      <c r="H61" s="11">
        <f>H60*'3. Inputs'!H46</f>
        <v>21160.256449004399</v>
      </c>
      <c r="I61" s="11">
        <f>I60*'3. Inputs'!I46</f>
        <v>23001.826731078207</v>
      </c>
      <c r="J61" s="11">
        <f>J60*'3. Inputs'!J46</f>
        <v>27414.413351928102</v>
      </c>
      <c r="K61" s="11">
        <f>K60*'3. Inputs'!K46</f>
        <v>29235.042715057254</v>
      </c>
      <c r="L61" s="11">
        <f>L60*'3. Inputs'!L46</f>
        <v>30849.237306010145</v>
      </c>
      <c r="M61" s="11"/>
    </row>
    <row r="62" spans="3:13" ht="12.6" thickBot="1" x14ac:dyDescent="0.45">
      <c r="C62" s="91" t="s">
        <v>17</v>
      </c>
      <c r="D62" s="40"/>
      <c r="E62" s="40"/>
      <c r="F62" s="40"/>
      <c r="G62" s="40"/>
      <c r="H62" s="92">
        <f>H60-H61</f>
        <v>109422.6463409319</v>
      </c>
      <c r="I62" s="92">
        <f>I60-I61</f>
        <v>118945.66389853877</v>
      </c>
      <c r="J62" s="92">
        <f>J60-J61</f>
        <v>141763.76661981764</v>
      </c>
      <c r="K62" s="92">
        <f>K60-K61</f>
        <v>151178.49575600305</v>
      </c>
      <c r="L62" s="92">
        <f>L60-L61</f>
        <v>159525.72180578913</v>
      </c>
      <c r="M62" s="26"/>
    </row>
    <row r="63" spans="3:13" x14ac:dyDescent="0.4">
      <c r="H63" s="26"/>
      <c r="I63" s="26"/>
      <c r="J63" s="26"/>
      <c r="K63" s="26"/>
      <c r="L63" s="26"/>
    </row>
    <row r="64" spans="3:13" x14ac:dyDescent="0.4">
      <c r="C64" s="1" t="s">
        <v>18</v>
      </c>
    </row>
    <row r="65" spans="1:14" x14ac:dyDescent="0.4">
      <c r="C65" s="1" t="s">
        <v>19</v>
      </c>
      <c r="H65" s="17">
        <f>H62/H72</f>
        <v>7.0590869961390075</v>
      </c>
      <c r="I65" s="17">
        <f>I62/I72</f>
        <v>8.0444989547545038</v>
      </c>
      <c r="J65" s="17">
        <f>J62/J72</f>
        <v>10.074915741006329</v>
      </c>
      <c r="K65" s="17">
        <f>K62/K72</f>
        <v>11.319175993225127</v>
      </c>
      <c r="L65" s="17">
        <f>L62/L72</f>
        <v>12.619744382274446</v>
      </c>
      <c r="M65" s="17"/>
    </row>
    <row r="66" spans="1:14" x14ac:dyDescent="0.4">
      <c r="C66" s="1" t="s">
        <v>20</v>
      </c>
      <c r="H66" s="17">
        <f>H62/H77</f>
        <v>7.0094109950882073</v>
      </c>
      <c r="I66" s="17">
        <f>I62/I77</f>
        <v>7.9851711341644771</v>
      </c>
      <c r="J66" s="17">
        <f>J62/J77</f>
        <v>9.9968673614561787</v>
      </c>
      <c r="K66" s="17">
        <f>K62/K77</f>
        <v>11.226832601567201</v>
      </c>
      <c r="L66" s="17">
        <f>L62/L77</f>
        <v>12.511017669201417</v>
      </c>
      <c r="M66" s="17"/>
    </row>
    <row r="68" spans="1:14" x14ac:dyDescent="0.4">
      <c r="C68" s="4" t="s">
        <v>21</v>
      </c>
    </row>
    <row r="69" spans="1:14" x14ac:dyDescent="0.4">
      <c r="C69" s="1" t="s">
        <v>19</v>
      </c>
    </row>
    <row r="70" spans="1:14" x14ac:dyDescent="0.4">
      <c r="C70" s="1"/>
      <c r="D70" t="s">
        <v>67</v>
      </c>
      <c r="H70" s="11">
        <f>'3. Inputs'!G69</f>
        <v>16215.963</v>
      </c>
      <c r="I70" s="11">
        <f>H72</f>
        <v>15500.963</v>
      </c>
      <c r="J70" s="11">
        <f>I72</f>
        <v>14785.963</v>
      </c>
      <c r="K70" s="11">
        <f>J72</f>
        <v>14070.963</v>
      </c>
      <c r="L70" s="11">
        <f>K72</f>
        <v>13355.963</v>
      </c>
    </row>
    <row r="71" spans="1:14" x14ac:dyDescent="0.4">
      <c r="C71" s="1"/>
      <c r="D71" t="s">
        <v>145</v>
      </c>
      <c r="H71" s="11">
        <f>'3. Inputs'!H72-'3. Inputs'!H75</f>
        <v>-715</v>
      </c>
      <c r="I71" s="11">
        <f>'3. Inputs'!I72-'3. Inputs'!I75</f>
        <v>-715</v>
      </c>
      <c r="J71" s="11">
        <f>'3. Inputs'!J72-'3. Inputs'!J75</f>
        <v>-715</v>
      </c>
      <c r="K71" s="11">
        <f>'3. Inputs'!K72-'3. Inputs'!K75</f>
        <v>-715</v>
      </c>
      <c r="L71" s="11">
        <f>'3. Inputs'!L72-'3. Inputs'!L75</f>
        <v>-715</v>
      </c>
    </row>
    <row r="72" spans="1:14" x14ac:dyDescent="0.4">
      <c r="C72" s="1"/>
      <c r="D72" s="70" t="s">
        <v>69</v>
      </c>
      <c r="E72" s="70"/>
      <c r="F72" s="70"/>
      <c r="G72" s="70"/>
      <c r="H72" s="71">
        <f>H70+H71</f>
        <v>15500.963</v>
      </c>
      <c r="I72" s="71">
        <f>I70+I71</f>
        <v>14785.963</v>
      </c>
      <c r="J72" s="71">
        <f>J70+J71</f>
        <v>14070.963</v>
      </c>
      <c r="K72" s="71">
        <f>K70+K71</f>
        <v>13355.963</v>
      </c>
      <c r="L72" s="71">
        <f>L70+L71</f>
        <v>12640.963</v>
      </c>
    </row>
    <row r="73" spans="1:14" x14ac:dyDescent="0.4">
      <c r="C73" s="1"/>
      <c r="H73" s="11"/>
      <c r="I73" s="11"/>
      <c r="J73" s="11"/>
      <c r="K73" s="11"/>
      <c r="L73" s="11"/>
    </row>
    <row r="74" spans="1:14" x14ac:dyDescent="0.4">
      <c r="C74" s="1" t="s">
        <v>20</v>
      </c>
      <c r="H74" s="11">
        <f>'3. Inputs'!H70</f>
        <v>0</v>
      </c>
      <c r="I74" s="11">
        <f>'3. Inputs'!I70</f>
        <v>0</v>
      </c>
      <c r="J74" s="11">
        <f>'3. Inputs'!J70</f>
        <v>0</v>
      </c>
      <c r="K74" s="11">
        <f>'3. Inputs'!K70</f>
        <v>0</v>
      </c>
      <c r="L74" s="11">
        <f>'3. Inputs'!L70</f>
        <v>0</v>
      </c>
    </row>
    <row r="75" spans="1:14" x14ac:dyDescent="0.4">
      <c r="D75" t="s">
        <v>67</v>
      </c>
      <c r="H75" s="11">
        <f>'3. Inputs'!G70</f>
        <v>16325.819</v>
      </c>
      <c r="I75" s="11">
        <f>H77</f>
        <v>15610.819</v>
      </c>
      <c r="J75" s="11">
        <f>I77</f>
        <v>14895.819</v>
      </c>
      <c r="K75" s="11">
        <f>J77</f>
        <v>14180.819</v>
      </c>
      <c r="L75" s="11">
        <f>K77</f>
        <v>13465.819</v>
      </c>
    </row>
    <row r="76" spans="1:14" x14ac:dyDescent="0.4">
      <c r="D76" t="s">
        <v>145</v>
      </c>
      <c r="H76" s="11">
        <f>H71</f>
        <v>-715</v>
      </c>
      <c r="I76" s="11">
        <f>I71</f>
        <v>-715</v>
      </c>
      <c r="J76" s="11">
        <f>J71</f>
        <v>-715</v>
      </c>
      <c r="K76" s="11">
        <f>K71</f>
        <v>-715</v>
      </c>
      <c r="L76" s="11">
        <f>L71</f>
        <v>-715</v>
      </c>
    </row>
    <row r="77" spans="1:14" x14ac:dyDescent="0.4">
      <c r="D77" s="70" t="s">
        <v>69</v>
      </c>
      <c r="E77" s="70"/>
      <c r="F77" s="70"/>
      <c r="G77" s="70"/>
      <c r="H77" s="71">
        <f>H75+H76</f>
        <v>15610.819</v>
      </c>
      <c r="I77" s="71">
        <f>I75+I76</f>
        <v>14895.819</v>
      </c>
      <c r="J77" s="71">
        <f>J75+J76</f>
        <v>14180.819</v>
      </c>
      <c r="K77" s="71">
        <f>K75+K76</f>
        <v>13465.819</v>
      </c>
      <c r="L77" s="71">
        <f>L75+L76</f>
        <v>12750.819</v>
      </c>
    </row>
    <row r="79" spans="1:14" s="86" customFormat="1" ht="12.6" thickBot="1" x14ac:dyDescent="0.45">
      <c r="A79" s="113"/>
      <c r="B79" s="114" t="s">
        <v>205</v>
      </c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</row>
    <row r="80" spans="1:14" s="33" customFormat="1" ht="12.6" thickTop="1" x14ac:dyDescent="0.4">
      <c r="B80" s="93"/>
    </row>
    <row r="81" spans="3:13" x14ac:dyDescent="0.4">
      <c r="C81" s="4" t="s">
        <v>88</v>
      </c>
    </row>
    <row r="82" spans="3:13" x14ac:dyDescent="0.4">
      <c r="D82" t="s">
        <v>89</v>
      </c>
      <c r="H82" s="26">
        <f>H28</f>
        <v>425019.29</v>
      </c>
      <c r="I82" s="26">
        <f>I28</f>
        <v>455911.34840000002</v>
      </c>
      <c r="J82" s="26">
        <f>J28</f>
        <v>540583.41484400001</v>
      </c>
      <c r="K82" s="26">
        <f>K28</f>
        <v>570933.38060220005</v>
      </c>
      <c r="L82" s="26">
        <f>L28</f>
        <v>599480.04963231005</v>
      </c>
      <c r="M82" s="26"/>
    </row>
    <row r="83" spans="3:13" x14ac:dyDescent="0.4">
      <c r="C83" s="1"/>
      <c r="D83" t="s">
        <v>90</v>
      </c>
      <c r="H83" s="11">
        <f>'3. Inputs'!H52</f>
        <v>26.087825363656648</v>
      </c>
      <c r="I83" s="11">
        <f>'3. Inputs'!I52</f>
        <v>26.087825363656648</v>
      </c>
      <c r="J83" s="11">
        <f>'3. Inputs'!J52</f>
        <v>26.087825363656648</v>
      </c>
      <c r="K83" s="11">
        <f>'3. Inputs'!K52</f>
        <v>26.087825363656648</v>
      </c>
      <c r="L83" s="11">
        <f>'3. Inputs'!L52</f>
        <v>26.087825363656648</v>
      </c>
      <c r="M83" s="11"/>
    </row>
    <row r="84" spans="3:13" x14ac:dyDescent="0.4">
      <c r="C84" s="1"/>
      <c r="D84" s="68" t="s">
        <v>97</v>
      </c>
      <c r="E84" s="68"/>
      <c r="F84" s="68"/>
      <c r="G84" s="67"/>
      <c r="H84" s="73">
        <f>H82/'3. Inputs'!H51*H83</f>
        <v>30377.613736179017</v>
      </c>
      <c r="I84" s="73">
        <f>I82/'3. Inputs'!I51*I83</f>
        <v>32585.577091420335</v>
      </c>
      <c r="J84" s="73">
        <f>J82/'3. Inputs'!J51*J83</f>
        <v>38637.385536820351</v>
      </c>
      <c r="K84" s="73">
        <f>K82/'3. Inputs'!K51*K83</f>
        <v>40806.603636800843</v>
      </c>
      <c r="L84" s="73">
        <f>L82/'3. Inputs'!L51*L83</f>
        <v>42846.933818640886</v>
      </c>
      <c r="M84" s="26"/>
    </row>
    <row r="85" spans="3:13" x14ac:dyDescent="0.4">
      <c r="C85" s="1"/>
      <c r="D85" s="3"/>
    </row>
    <row r="86" spans="3:13" x14ac:dyDescent="0.4">
      <c r="C86" s="4" t="s">
        <v>98</v>
      </c>
    </row>
    <row r="87" spans="3:13" x14ac:dyDescent="0.4">
      <c r="D87" t="s">
        <v>99</v>
      </c>
      <c r="H87" s="26">
        <f>H34</f>
        <v>213559.25999999998</v>
      </c>
      <c r="I87" s="26">
        <f>I34</f>
        <v>226372.8156</v>
      </c>
      <c r="J87" s="26">
        <f>J34</f>
        <v>273911.10687600001</v>
      </c>
      <c r="K87" s="26">
        <f>K34</f>
        <v>287606.6622198</v>
      </c>
      <c r="L87" s="26">
        <f>L34</f>
        <v>301986.99533079</v>
      </c>
      <c r="M87" s="26"/>
    </row>
    <row r="88" spans="3:13" x14ac:dyDescent="0.4">
      <c r="C88" s="1"/>
      <c r="D88" t="s">
        <v>100</v>
      </c>
      <c r="H88" s="11">
        <f>'3. Inputs'!H53</f>
        <v>8.96054519012662</v>
      </c>
      <c r="I88" s="11">
        <f>'3. Inputs'!I53</f>
        <v>8.96054519012662</v>
      </c>
      <c r="J88" s="11">
        <f>'3. Inputs'!J53</f>
        <v>8.96054519012662</v>
      </c>
      <c r="K88" s="11">
        <f>'3. Inputs'!K53</f>
        <v>8.96054519012662</v>
      </c>
      <c r="L88" s="11">
        <f>'3. Inputs'!L53</f>
        <v>8.96054519012662</v>
      </c>
      <c r="M88" s="11"/>
    </row>
    <row r="89" spans="3:13" x14ac:dyDescent="0.4">
      <c r="C89" s="1"/>
      <c r="D89" s="68" t="s">
        <v>101</v>
      </c>
      <c r="E89" s="68"/>
      <c r="F89" s="68"/>
      <c r="G89" s="67"/>
      <c r="H89" s="73">
        <f>H87/'3. Inputs'!H51*H88</f>
        <v>5242.76</v>
      </c>
      <c r="I89" s="73">
        <f>I87/'3. Inputs'!I51*I88</f>
        <v>5557.325600000001</v>
      </c>
      <c r="J89" s="73">
        <f>J87/'3. Inputs'!J51*J88</f>
        <v>6724.3639760000015</v>
      </c>
      <c r="K89" s="73">
        <f>K87/'3. Inputs'!K51*K88</f>
        <v>7060.5821748000008</v>
      </c>
      <c r="L89" s="73">
        <f>L87/'3. Inputs'!L51*L88</f>
        <v>7413.6112835400008</v>
      </c>
      <c r="M89" s="26"/>
    </row>
    <row r="90" spans="3:13" x14ac:dyDescent="0.4">
      <c r="C90" s="1"/>
      <c r="D90" s="2"/>
    </row>
    <row r="91" spans="3:13" x14ac:dyDescent="0.4">
      <c r="C91" s="4" t="s">
        <v>104</v>
      </c>
    </row>
    <row r="92" spans="3:13" x14ac:dyDescent="0.4">
      <c r="C92" s="1"/>
      <c r="D92" t="s">
        <v>67</v>
      </c>
      <c r="H92" s="19">
        <f>'3. Inputs'!G114</f>
        <v>145463</v>
      </c>
      <c r="I92" s="19">
        <f>H94</f>
        <v>145463</v>
      </c>
      <c r="J92" s="19">
        <f>I94</f>
        <v>145463</v>
      </c>
      <c r="K92" s="19">
        <f>J94</f>
        <v>145463</v>
      </c>
      <c r="L92" s="19">
        <f>K94</f>
        <v>145463</v>
      </c>
    </row>
    <row r="93" spans="3:13" x14ac:dyDescent="0.4">
      <c r="C93" s="1"/>
      <c r="D93" t="s">
        <v>105</v>
      </c>
      <c r="H93">
        <f>'3. Inputs'!H58</f>
        <v>0</v>
      </c>
      <c r="I93">
        <f>'3. Inputs'!I58</f>
        <v>0</v>
      </c>
      <c r="J93">
        <f>'3. Inputs'!J58</f>
        <v>0</v>
      </c>
      <c r="K93">
        <f>'3. Inputs'!K58</f>
        <v>0</v>
      </c>
      <c r="L93">
        <f>'3. Inputs'!L58</f>
        <v>0</v>
      </c>
    </row>
    <row r="94" spans="3:13" x14ac:dyDescent="0.4">
      <c r="C94" s="1"/>
      <c r="D94" s="94" t="s">
        <v>69</v>
      </c>
      <c r="E94" s="15"/>
      <c r="F94" s="15"/>
      <c r="G94" s="15"/>
      <c r="H94" s="28">
        <f>H92+H93</f>
        <v>145463</v>
      </c>
      <c r="I94" s="28">
        <f>I92+I93</f>
        <v>145463</v>
      </c>
      <c r="J94" s="28">
        <f>J92+J93</f>
        <v>145463</v>
      </c>
      <c r="K94" s="28">
        <f>K92+K93</f>
        <v>145463</v>
      </c>
      <c r="L94" s="28">
        <f>L92+L93</f>
        <v>145463</v>
      </c>
    </row>
    <row r="95" spans="3:13" x14ac:dyDescent="0.4">
      <c r="C95" s="1"/>
      <c r="D95" s="2"/>
    </row>
    <row r="96" spans="3:13" x14ac:dyDescent="0.4">
      <c r="C96" s="1"/>
      <c r="D96" s="2" t="s">
        <v>146</v>
      </c>
      <c r="H96" s="95">
        <f>'3. Inputs'!H59</f>
        <v>0.02</v>
      </c>
      <c r="I96" s="95">
        <f>'3. Inputs'!I59</f>
        <v>0.02</v>
      </c>
      <c r="J96" s="95">
        <f>'3. Inputs'!J59</f>
        <v>0.02</v>
      </c>
      <c r="K96" s="95">
        <f>'3. Inputs'!K59</f>
        <v>0.02</v>
      </c>
      <c r="L96" s="95">
        <f>'3. Inputs'!L59</f>
        <v>0.02</v>
      </c>
    </row>
    <row r="97" spans="3:13" x14ac:dyDescent="0.4">
      <c r="C97" s="1"/>
      <c r="D97" s="2" t="s">
        <v>168</v>
      </c>
      <c r="H97" s="11">
        <f>AVERAGE(H92,H94)*H96</f>
        <v>2909.26</v>
      </c>
      <c r="I97" s="11">
        <f>AVERAGE(I92,I94)*I96</f>
        <v>2909.26</v>
      </c>
      <c r="J97" s="11">
        <f>AVERAGE(J92,J94)*J96</f>
        <v>2909.26</v>
      </c>
      <c r="K97" s="11">
        <f>AVERAGE(K92,K94)*K96</f>
        <v>2909.26</v>
      </c>
      <c r="L97" s="11">
        <f>AVERAGE(L92,L94)*L96</f>
        <v>2909.26</v>
      </c>
    </row>
    <row r="98" spans="3:13" x14ac:dyDescent="0.4">
      <c r="C98" s="1"/>
      <c r="D98" s="2"/>
    </row>
    <row r="99" spans="3:13" x14ac:dyDescent="0.4">
      <c r="C99" s="4" t="s">
        <v>106</v>
      </c>
      <c r="D99" s="2"/>
    </row>
    <row r="100" spans="3:13" x14ac:dyDescent="0.4">
      <c r="C100" s="1"/>
      <c r="D100" s="2" t="s">
        <v>67</v>
      </c>
      <c r="H100" s="11">
        <f>'3. Inputs'!G115</f>
        <v>42117</v>
      </c>
      <c r="I100" s="11">
        <f>H103</f>
        <v>44493.599999999999</v>
      </c>
      <c r="J100" s="11">
        <f>I103</f>
        <v>46394.879999999997</v>
      </c>
      <c r="K100" s="11">
        <f>J103</f>
        <v>47915.903999999995</v>
      </c>
      <c r="L100" s="11">
        <f>K103</f>
        <v>49132.723199999993</v>
      </c>
    </row>
    <row r="101" spans="3:13" x14ac:dyDescent="0.4">
      <c r="C101" s="1"/>
      <c r="D101" s="2" t="s">
        <v>107</v>
      </c>
      <c r="H101" s="11">
        <f>'3. Inputs'!H61</f>
        <v>12000</v>
      </c>
      <c r="I101" s="11">
        <f>'3. Inputs'!I61</f>
        <v>12000</v>
      </c>
      <c r="J101" s="11">
        <f>'3. Inputs'!J61</f>
        <v>12000</v>
      </c>
      <c r="K101" s="11">
        <f>'3. Inputs'!K61</f>
        <v>12000</v>
      </c>
      <c r="L101" s="11">
        <f>'3. Inputs'!L61</f>
        <v>12000</v>
      </c>
    </row>
    <row r="102" spans="3:13" x14ac:dyDescent="0.4">
      <c r="C102" s="1"/>
      <c r="D102" s="2" t="s">
        <v>108</v>
      </c>
      <c r="H102" s="11">
        <f>-(H100+H101/2)*'3. Inputs'!H62</f>
        <v>-9623.4</v>
      </c>
      <c r="I102" s="11">
        <f>-(I100+I101/2)*'3. Inputs'!I62</f>
        <v>-10098.720000000001</v>
      </c>
      <c r="J102" s="11">
        <f>-(J100+J101/2)*'3. Inputs'!J62</f>
        <v>-10478.976000000001</v>
      </c>
      <c r="K102" s="11">
        <f>-(K100+K101/2)*'3. Inputs'!K62</f>
        <v>-10783.1808</v>
      </c>
      <c r="L102" s="11">
        <f>-(L100+L101/2)*'3. Inputs'!L62</f>
        <v>-11026.54464</v>
      </c>
    </row>
    <row r="103" spans="3:13" x14ac:dyDescent="0.4">
      <c r="C103" s="1"/>
      <c r="D103" s="67" t="s">
        <v>69</v>
      </c>
      <c r="E103" s="68"/>
      <c r="F103" s="68"/>
      <c r="G103" s="68"/>
      <c r="H103" s="69">
        <f>SUM(H100:H102)</f>
        <v>44493.599999999999</v>
      </c>
      <c r="I103" s="69">
        <f>SUM(I100:I102)</f>
        <v>46394.879999999997</v>
      </c>
      <c r="J103" s="69">
        <f>SUM(J100:J102)</f>
        <v>47915.903999999995</v>
      </c>
      <c r="K103" s="69">
        <f>SUM(K100:K102)</f>
        <v>49132.723199999993</v>
      </c>
      <c r="L103" s="69">
        <f>SUM(L100:L102)</f>
        <v>50106.178559999993</v>
      </c>
    </row>
    <row r="104" spans="3:13" x14ac:dyDescent="0.4">
      <c r="C104" s="1"/>
      <c r="D104" s="2"/>
    </row>
    <row r="105" spans="3:13" x14ac:dyDescent="0.4">
      <c r="C105" s="4" t="s">
        <v>165</v>
      </c>
    </row>
    <row r="106" spans="3:13" x14ac:dyDescent="0.4">
      <c r="D106" t="s">
        <v>89</v>
      </c>
      <c r="H106" s="26">
        <f>H28</f>
        <v>425019.29</v>
      </c>
      <c r="I106" s="26">
        <f>I28</f>
        <v>455911.34840000002</v>
      </c>
      <c r="J106" s="26">
        <f>J28</f>
        <v>540583.41484400001</v>
      </c>
      <c r="K106" s="26">
        <f>K28</f>
        <v>570933.38060220005</v>
      </c>
      <c r="L106" s="26">
        <f>L28</f>
        <v>599480.04963231005</v>
      </c>
      <c r="M106" s="26"/>
    </row>
    <row r="107" spans="3:13" x14ac:dyDescent="0.4">
      <c r="C107" s="1"/>
      <c r="D107" t="s">
        <v>90</v>
      </c>
      <c r="H107" s="11">
        <f>'3. Inputs'!H54</f>
        <v>100.33686423485018</v>
      </c>
      <c r="I107" s="11">
        <f>'3. Inputs'!I54</f>
        <v>100.33686423485018</v>
      </c>
      <c r="J107" s="11">
        <f>'3. Inputs'!J54</f>
        <v>100.33686423485018</v>
      </c>
      <c r="K107" s="11">
        <f>'3. Inputs'!K54</f>
        <v>100.33686423485018</v>
      </c>
      <c r="L107" s="11">
        <f>'3. Inputs'!L54</f>
        <v>100.33686423485018</v>
      </c>
      <c r="M107" s="11"/>
    </row>
    <row r="108" spans="3:13" x14ac:dyDescent="0.4">
      <c r="C108" s="1"/>
      <c r="D108" s="68" t="s">
        <v>166</v>
      </c>
      <c r="E108" s="68"/>
      <c r="F108" s="68"/>
      <c r="G108" s="67"/>
      <c r="H108" s="73">
        <f>H106/'3. Inputs'!H51*H107</f>
        <v>116835.89807649978</v>
      </c>
      <c r="I108" s="73">
        <f>I106/'3. Inputs'!I51*I107</f>
        <v>125327.98648640624</v>
      </c>
      <c r="J108" s="73">
        <f>J106/'3. Inputs'!J51*J107</f>
        <v>148603.95808990172</v>
      </c>
      <c r="K108" s="73">
        <f>K106/'3. Inputs'!K51*K107</f>
        <v>156947.02766199174</v>
      </c>
      <c r="L108" s="73">
        <f>L106/'3. Inputs'!L51*L107</f>
        <v>164794.37904509134</v>
      </c>
      <c r="M108" s="26"/>
    </row>
    <row r="109" spans="3:13" x14ac:dyDescent="0.4">
      <c r="C109" s="1"/>
      <c r="D109" s="3"/>
    </row>
    <row r="110" spans="3:13" x14ac:dyDescent="0.4">
      <c r="C110" s="4" t="s">
        <v>102</v>
      </c>
    </row>
    <row r="111" spans="3:13" x14ac:dyDescent="0.4">
      <c r="D111" t="s">
        <v>171</v>
      </c>
      <c r="H111" s="26">
        <f>H40+H47+H52</f>
        <v>294090.25471006369</v>
      </c>
      <c r="I111" s="26">
        <f>I40+I47+I52</f>
        <v>313617.725270383</v>
      </c>
      <c r="J111" s="26">
        <f>J40+J47+J52</f>
        <v>371059.10237225424</v>
      </c>
      <c r="K111" s="26">
        <f>K40+K47+K52</f>
        <v>390173.70963113976</v>
      </c>
      <c r="L111" s="26">
        <f>L40+L47+L52</f>
        <v>408758.95802051079</v>
      </c>
      <c r="M111" s="26"/>
    </row>
    <row r="112" spans="3:13" x14ac:dyDescent="0.4">
      <c r="C112" s="1"/>
      <c r="D112" t="s">
        <v>103</v>
      </c>
      <c r="H112" s="11">
        <f>'3. Inputs'!H55</f>
        <v>85.131834072414151</v>
      </c>
      <c r="I112" s="11">
        <f>'3. Inputs'!I55</f>
        <v>85.131834072414151</v>
      </c>
      <c r="J112" s="11">
        <f>'3. Inputs'!J55</f>
        <v>85.131834072414151</v>
      </c>
      <c r="K112" s="11">
        <f>'3. Inputs'!K55</f>
        <v>85.131834072414151</v>
      </c>
      <c r="L112" s="11">
        <f>'3. Inputs'!L55</f>
        <v>85.131834072414151</v>
      </c>
      <c r="M112" s="11"/>
    </row>
    <row r="113" spans="3:13" x14ac:dyDescent="0.4">
      <c r="C113" s="1"/>
      <c r="D113" s="68" t="s">
        <v>124</v>
      </c>
      <c r="E113" s="68"/>
      <c r="F113" s="68"/>
      <c r="G113" s="67"/>
      <c r="H113" s="73">
        <f>H111/'3. Inputs'!H51*H112</f>
        <v>68592.993880249735</v>
      </c>
      <c r="I113" s="73">
        <f>I111/'3. Inputs'!I51*I112</f>
        <v>73147.54013667455</v>
      </c>
      <c r="J113" s="73">
        <f>J111/'3. Inputs'!J51*J112</f>
        <v>86545.046395105979</v>
      </c>
      <c r="K113" s="73">
        <f>K111/'3. Inputs'!K51*K112</f>
        <v>91003.29728146983</v>
      </c>
      <c r="L113" s="73">
        <f>L111/'3. Inputs'!L51*L112</f>
        <v>95338.081615931587</v>
      </c>
      <c r="M113" s="26"/>
    </row>
    <row r="114" spans="3:13" x14ac:dyDescent="0.4">
      <c r="C114" s="1"/>
      <c r="D114" s="2"/>
    </row>
    <row r="115" spans="3:13" x14ac:dyDescent="0.4">
      <c r="C115" s="4" t="s">
        <v>167</v>
      </c>
    </row>
    <row r="116" spans="3:13" x14ac:dyDescent="0.4">
      <c r="D116" t="s">
        <v>67</v>
      </c>
      <c r="H116" s="26">
        <f>'3. Inputs'!G121</f>
        <v>127881</v>
      </c>
      <c r="I116" s="26">
        <f>H118</f>
        <v>131078.02499999999</v>
      </c>
      <c r="J116" s="26">
        <f>I118</f>
        <v>134354.97562499999</v>
      </c>
      <c r="K116" s="26">
        <f>J118</f>
        <v>137713.85001562498</v>
      </c>
      <c r="L116" s="26">
        <f>K118</f>
        <v>141156.69626601558</v>
      </c>
      <c r="M116" s="26"/>
    </row>
    <row r="117" spans="3:13" x14ac:dyDescent="0.4">
      <c r="C117" s="1"/>
      <c r="D117" t="s">
        <v>68</v>
      </c>
      <c r="H117" s="76">
        <f>'3. Inputs'!H56</f>
        <v>2.5000000000000001E-2</v>
      </c>
      <c r="I117" s="76">
        <f>'3. Inputs'!I56</f>
        <v>2.5000000000000001E-2</v>
      </c>
      <c r="J117" s="76">
        <f>'3. Inputs'!J56</f>
        <v>2.5000000000000001E-2</v>
      </c>
      <c r="K117" s="76">
        <f>'3. Inputs'!K56</f>
        <v>2.5000000000000001E-2</v>
      </c>
      <c r="L117" s="76">
        <f>'3. Inputs'!L56</f>
        <v>2.5000000000000001E-2</v>
      </c>
      <c r="M117" s="11"/>
    </row>
    <row r="118" spans="3:13" x14ac:dyDescent="0.4">
      <c r="C118" s="1"/>
      <c r="D118" s="15" t="s">
        <v>69</v>
      </c>
      <c r="E118" s="68"/>
      <c r="F118" s="68"/>
      <c r="G118" s="67"/>
      <c r="H118" s="73">
        <f>H116*(1+H117)</f>
        <v>131078.02499999999</v>
      </c>
      <c r="I118" s="73">
        <f>I116*(1+I117)</f>
        <v>134354.97562499999</v>
      </c>
      <c r="J118" s="73">
        <f>J116*(1+J117)</f>
        <v>137713.85001562498</v>
      </c>
      <c r="K118" s="73">
        <f>K116*(1+K117)</f>
        <v>141156.69626601558</v>
      </c>
      <c r="L118" s="73">
        <f>L116*(1+L117)</f>
        <v>144685.61367266596</v>
      </c>
      <c r="M118" s="26"/>
    </row>
    <row r="119" spans="3:13" x14ac:dyDescent="0.4">
      <c r="C119" s="1"/>
      <c r="D119" s="3"/>
    </row>
    <row r="120" spans="3:13" x14ac:dyDescent="0.4">
      <c r="C120" s="4" t="s">
        <v>38</v>
      </c>
    </row>
    <row r="121" spans="3:13" x14ac:dyDescent="0.4">
      <c r="C121" s="1"/>
      <c r="D121" t="s">
        <v>67</v>
      </c>
      <c r="H121" s="11">
        <f>'3. Inputs'!G122</f>
        <v>110087</v>
      </c>
      <c r="I121" s="11">
        <f>H123</f>
        <v>110087</v>
      </c>
      <c r="J121" s="11">
        <f>I123</f>
        <v>110087</v>
      </c>
      <c r="K121" s="11">
        <f>J123</f>
        <v>110087</v>
      </c>
      <c r="L121" s="11">
        <f>K123</f>
        <v>110087</v>
      </c>
    </row>
    <row r="122" spans="3:13" x14ac:dyDescent="0.4">
      <c r="C122" s="1"/>
      <c r="D122" t="s">
        <v>105</v>
      </c>
      <c r="H122" s="11">
        <f>'3. Inputs'!H64</f>
        <v>0</v>
      </c>
      <c r="I122" s="11">
        <f>'3. Inputs'!I64</f>
        <v>0</v>
      </c>
      <c r="J122" s="11">
        <f>'3. Inputs'!J64</f>
        <v>0</v>
      </c>
      <c r="K122" s="11">
        <f>'3. Inputs'!K64</f>
        <v>0</v>
      </c>
      <c r="L122" s="11">
        <f>'3. Inputs'!L64</f>
        <v>0</v>
      </c>
    </row>
    <row r="123" spans="3:13" x14ac:dyDescent="0.4">
      <c r="C123" s="1"/>
      <c r="D123" s="94" t="s">
        <v>69</v>
      </c>
      <c r="E123" s="15"/>
      <c r="F123" s="15"/>
      <c r="G123" s="15"/>
      <c r="H123" s="28">
        <f>H121+H122</f>
        <v>110087</v>
      </c>
      <c r="I123" s="28">
        <f>I121+I122</f>
        <v>110087</v>
      </c>
      <c r="J123" s="28">
        <f>J121+J122</f>
        <v>110087</v>
      </c>
      <c r="K123" s="28">
        <f>K121+K122</f>
        <v>110087</v>
      </c>
      <c r="L123" s="28">
        <f>L121+L122</f>
        <v>110087</v>
      </c>
    </row>
    <row r="124" spans="3:13" x14ac:dyDescent="0.4">
      <c r="C124" s="1"/>
      <c r="D124" s="2"/>
    </row>
    <row r="125" spans="3:13" x14ac:dyDescent="0.4">
      <c r="C125" s="1"/>
      <c r="D125" s="2" t="s">
        <v>146</v>
      </c>
      <c r="H125" s="95">
        <f>'3. Inputs'!H65</f>
        <v>2.75E-2</v>
      </c>
      <c r="I125" s="95">
        <f>'3. Inputs'!I65</f>
        <v>2.75E-2</v>
      </c>
      <c r="J125" s="95">
        <f>'3. Inputs'!J65</f>
        <v>2.75E-2</v>
      </c>
      <c r="K125" s="95">
        <f>'3. Inputs'!K65</f>
        <v>2.75E-2</v>
      </c>
      <c r="L125" s="95">
        <f>'3. Inputs'!L65</f>
        <v>2.75E-2</v>
      </c>
    </row>
    <row r="126" spans="3:13" x14ac:dyDescent="0.4">
      <c r="C126" s="1"/>
      <c r="D126" s="2" t="s">
        <v>147</v>
      </c>
      <c r="H126" s="11">
        <f>AVERAGE(H121,H123)*H125</f>
        <v>3027.3924999999999</v>
      </c>
      <c r="I126" s="11">
        <f>AVERAGE(I121,I123)*I125</f>
        <v>3027.3924999999999</v>
      </c>
      <c r="J126" s="11">
        <f>AVERAGE(J121,J123)*J125</f>
        <v>3027.3924999999999</v>
      </c>
      <c r="K126" s="11">
        <f>AVERAGE(K121,K123)*K125</f>
        <v>3027.3924999999999</v>
      </c>
      <c r="L126" s="11">
        <f>AVERAGE(L121,L123)*L125</f>
        <v>3027.3924999999999</v>
      </c>
    </row>
    <row r="127" spans="3:13" x14ac:dyDescent="0.4">
      <c r="C127" s="1"/>
      <c r="D127" s="2"/>
    </row>
    <row r="128" spans="3:13" x14ac:dyDescent="0.4">
      <c r="C128" s="4" t="s">
        <v>86</v>
      </c>
    </row>
    <row r="129" spans="1:14" x14ac:dyDescent="0.4">
      <c r="C129" s="1"/>
      <c r="D129" t="s">
        <v>67</v>
      </c>
      <c r="H129" s="19">
        <f>'3. Inputs'!G125</f>
        <v>50672</v>
      </c>
      <c r="I129" s="19">
        <f>H134</f>
        <v>46043.779640931883</v>
      </c>
      <c r="J129" s="19">
        <f>I134</f>
        <v>50842.778689470666</v>
      </c>
      <c r="K129" s="19">
        <f>J134</f>
        <v>78435.582309288307</v>
      </c>
      <c r="L129" s="19">
        <f>K134</f>
        <v>115490.31691529133</v>
      </c>
    </row>
    <row r="130" spans="1:14" x14ac:dyDescent="0.4">
      <c r="D130" t="s">
        <v>109</v>
      </c>
      <c r="H130" s="11">
        <f>'2. Financial Stmts'!H34</f>
        <v>109422.6463409319</v>
      </c>
      <c r="I130" s="11">
        <f>'2. Financial Stmts'!I34</f>
        <v>118945.66389853877</v>
      </c>
      <c r="J130" s="11">
        <f>'2. Financial Stmts'!J34</f>
        <v>141763.76661981764</v>
      </c>
      <c r="K130" s="11">
        <f>'2. Financial Stmts'!K34</f>
        <v>151178.49575600305</v>
      </c>
      <c r="L130" s="11">
        <f>'2. Financial Stmts'!L34</f>
        <v>159525.72180578913</v>
      </c>
    </row>
    <row r="131" spans="1:14" x14ac:dyDescent="0.4">
      <c r="C131" s="1"/>
      <c r="D131" t="s">
        <v>110</v>
      </c>
      <c r="H131" s="11">
        <f>'3. Inputs'!H72*'3. Inputs'!H73</f>
        <v>0</v>
      </c>
      <c r="I131" s="11">
        <f>'3. Inputs'!I72*'3. Inputs'!I73</f>
        <v>0</v>
      </c>
      <c r="J131" s="11">
        <f>'3. Inputs'!J72*'3. Inputs'!J73</f>
        <v>0</v>
      </c>
      <c r="K131" s="11">
        <f>'3. Inputs'!K72*'3. Inputs'!K73</f>
        <v>0</v>
      </c>
      <c r="L131" s="11">
        <f>'3. Inputs'!L72*'3. Inputs'!L73</f>
        <v>0</v>
      </c>
    </row>
    <row r="132" spans="1:14" x14ac:dyDescent="0.4">
      <c r="C132" s="1"/>
      <c r="D132" t="s">
        <v>163</v>
      </c>
      <c r="H132" s="11">
        <f>-'3. Inputs'!H75*'3. Inputs'!H76</f>
        <v>-100100</v>
      </c>
      <c r="I132" s="11">
        <f>-'3. Inputs'!I75*'3. Inputs'!I76</f>
        <v>-100100</v>
      </c>
      <c r="J132" s="11">
        <f>-'3. Inputs'!J75*'3. Inputs'!J76</f>
        <v>-100100</v>
      </c>
      <c r="K132" s="11">
        <f>-'3. Inputs'!K75*'3. Inputs'!K76</f>
        <v>-100100</v>
      </c>
      <c r="L132" s="11">
        <f>-'3. Inputs'!L75*'3. Inputs'!L76</f>
        <v>-100100</v>
      </c>
    </row>
    <row r="133" spans="1:14" x14ac:dyDescent="0.4">
      <c r="C133" s="1"/>
      <c r="D133" t="s">
        <v>111</v>
      </c>
      <c r="H133" s="11">
        <f>-H138*H137</f>
        <v>-13950.8667</v>
      </c>
      <c r="I133" s="11">
        <f>-I138*I137</f>
        <v>-14046.664849999999</v>
      </c>
      <c r="J133" s="11">
        <f>-J138*J137</f>
        <v>-14070.963</v>
      </c>
      <c r="K133" s="11">
        <f>-K138*K137</f>
        <v>-14023.76115</v>
      </c>
      <c r="L133" s="11">
        <f>-L138*L137</f>
        <v>-13905.059300000001</v>
      </c>
    </row>
    <row r="134" spans="1:14" x14ac:dyDescent="0.4">
      <c r="C134" s="1"/>
      <c r="D134" s="74" t="s">
        <v>69</v>
      </c>
      <c r="E134" s="70"/>
      <c r="F134" s="70"/>
      <c r="G134" s="70"/>
      <c r="H134" s="75">
        <f>SUM(H129:H133)</f>
        <v>46043.779640931883</v>
      </c>
      <c r="I134" s="75">
        <f>SUM(I129:I133)</f>
        <v>50842.778689470666</v>
      </c>
      <c r="J134" s="75">
        <f>SUM(J129:J133)</f>
        <v>78435.582309288307</v>
      </c>
      <c r="K134" s="75">
        <f>SUM(K129:K133)</f>
        <v>115490.31691529133</v>
      </c>
      <c r="L134" s="75">
        <f>SUM(L129:L133)</f>
        <v>161010.97942108047</v>
      </c>
    </row>
    <row r="135" spans="1:14" x14ac:dyDescent="0.4">
      <c r="C135" s="1"/>
      <c r="D135" s="2"/>
    </row>
    <row r="136" spans="1:14" x14ac:dyDescent="0.4">
      <c r="C136" s="4" t="s">
        <v>112</v>
      </c>
      <c r="D136" s="2"/>
    </row>
    <row r="137" spans="1:14" x14ac:dyDescent="0.4">
      <c r="C137" s="1"/>
      <c r="D137" s="2" t="s">
        <v>113</v>
      </c>
      <c r="H137" s="26">
        <f>H72</f>
        <v>15500.963</v>
      </c>
      <c r="I137" s="26">
        <f>I72</f>
        <v>14785.963</v>
      </c>
      <c r="J137" s="26">
        <f>J72</f>
        <v>14070.963</v>
      </c>
      <c r="K137" s="26">
        <f>K72</f>
        <v>13355.963</v>
      </c>
      <c r="L137" s="26">
        <f>L72</f>
        <v>12640.963</v>
      </c>
    </row>
    <row r="138" spans="1:14" x14ac:dyDescent="0.4">
      <c r="C138" s="1"/>
      <c r="D138" s="3" t="s">
        <v>114</v>
      </c>
      <c r="H138" s="17">
        <f>'3. Inputs'!H78</f>
        <v>0.9</v>
      </c>
      <c r="I138" s="17">
        <f>'3. Inputs'!I78</f>
        <v>0.95</v>
      </c>
      <c r="J138" s="17">
        <f>'3. Inputs'!J78</f>
        <v>1</v>
      </c>
      <c r="K138" s="17">
        <f>'3. Inputs'!K78</f>
        <v>1.05</v>
      </c>
      <c r="L138" s="17">
        <f>'3. Inputs'!L78</f>
        <v>1.1000000000000001</v>
      </c>
    </row>
    <row r="140" spans="1:14" s="86" customFormat="1" ht="12.6" thickBot="1" x14ac:dyDescent="0.45">
      <c r="A140" s="113"/>
      <c r="B140" s="114" t="s">
        <v>40</v>
      </c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</row>
    <row r="141" spans="1:14" ht="12.6" thickTop="1" x14ac:dyDescent="0.4"/>
    <row r="142" spans="1:14" x14ac:dyDescent="0.4">
      <c r="C142" s="1"/>
    </row>
    <row r="143" spans="1:14" ht="12.6" x14ac:dyDescent="0.4">
      <c r="C143" s="35"/>
      <c r="D143" s="35"/>
      <c r="E143" s="35"/>
      <c r="F143" s="35"/>
      <c r="G143" s="36"/>
    </row>
    <row r="144" spans="1:14" ht="12.6" x14ac:dyDescent="0.4">
      <c r="C144" s="35"/>
      <c r="D144" s="35"/>
      <c r="E144" s="35"/>
      <c r="F144" s="35"/>
      <c r="G144" s="37"/>
    </row>
    <row r="145" spans="3:7" ht="12.6" x14ac:dyDescent="0.4">
      <c r="C145" s="35"/>
      <c r="D145" s="35"/>
      <c r="E145" s="35"/>
      <c r="F145" s="35"/>
      <c r="G145" s="37"/>
    </row>
    <row r="146" spans="3:7" ht="12.6" x14ac:dyDescent="0.4">
      <c r="C146" s="35"/>
      <c r="D146" s="35"/>
      <c r="E146" s="35"/>
      <c r="F146" s="35"/>
      <c r="G146" s="37"/>
    </row>
    <row r="147" spans="3:7" ht="12.6" x14ac:dyDescent="0.4">
      <c r="C147" s="35"/>
      <c r="D147" s="35"/>
      <c r="E147" s="35"/>
      <c r="F147" s="35"/>
      <c r="G147" s="37"/>
    </row>
    <row r="148" spans="3:7" ht="12.6" x14ac:dyDescent="0.4">
      <c r="C148" s="35"/>
      <c r="D148" s="35"/>
      <c r="E148" s="35"/>
      <c r="F148" s="35"/>
      <c r="G148" s="36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0" tint="-0.499984740745262"/>
  </sheetPr>
  <dimension ref="A1:AA18"/>
  <sheetViews>
    <sheetView showGridLines="0" workbookViewId="0">
      <selection activeCell="D10" sqref="D10"/>
    </sheetView>
  </sheetViews>
  <sheetFormatPr defaultColWidth="0" defaultRowHeight="12.3" zeroHeight="1" x14ac:dyDescent="0.4"/>
  <cols>
    <col min="1" max="1" width="6" customWidth="1"/>
    <col min="2" max="2" width="9.0546875" customWidth="1"/>
    <col min="3" max="3" width="5.21875" customWidth="1"/>
    <col min="4" max="25" width="9.0546875" customWidth="1"/>
  </cols>
  <sheetData>
    <row r="1" spans="2:4" x14ac:dyDescent="0.4"/>
    <row r="2" spans="2:4" x14ac:dyDescent="0.4">
      <c r="B2" s="4" t="s">
        <v>178</v>
      </c>
    </row>
    <row r="3" spans="2:4" x14ac:dyDescent="0.4">
      <c r="B3" s="4" t="s">
        <v>39</v>
      </c>
    </row>
    <row r="4" spans="2:4" x14ac:dyDescent="0.4">
      <c r="B4" s="5" t="str">
        <f>model_date</f>
        <v>October 31, 2022</v>
      </c>
    </row>
    <row r="5" spans="2:4" x14ac:dyDescent="0.4"/>
    <row r="6" spans="2:4" x14ac:dyDescent="0.4">
      <c r="B6" s="5" t="s">
        <v>213</v>
      </c>
      <c r="C6" s="116" t="s">
        <v>214</v>
      </c>
      <c r="D6" t="s">
        <v>210</v>
      </c>
    </row>
    <row r="7" spans="2:4" x14ac:dyDescent="0.4">
      <c r="C7" s="117"/>
    </row>
    <row r="8" spans="2:4" x14ac:dyDescent="0.4">
      <c r="C8" s="116" t="s">
        <v>215</v>
      </c>
      <c r="D8" t="s">
        <v>212</v>
      </c>
    </row>
    <row r="9" spans="2:4" x14ac:dyDescent="0.4">
      <c r="C9" s="117"/>
    </row>
    <row r="10" spans="2:4" x14ac:dyDescent="0.4">
      <c r="C10" s="116" t="s">
        <v>216</v>
      </c>
      <c r="D10" t="s">
        <v>220</v>
      </c>
    </row>
    <row r="11" spans="2:4" x14ac:dyDescent="0.4">
      <c r="C11" s="117"/>
    </row>
    <row r="12" spans="2:4" x14ac:dyDescent="0.4">
      <c r="C12" s="116" t="s">
        <v>217</v>
      </c>
      <c r="D12" t="s">
        <v>219</v>
      </c>
    </row>
    <row r="13" spans="2:4" x14ac:dyDescent="0.4">
      <c r="C13" s="117"/>
    </row>
    <row r="14" spans="2:4" x14ac:dyDescent="0.4">
      <c r="C14" s="116" t="s">
        <v>218</v>
      </c>
      <c r="D14" t="s">
        <v>211</v>
      </c>
    </row>
    <row r="15" spans="2:4" x14ac:dyDescent="0.4">
      <c r="C15" s="117"/>
    </row>
    <row r="16" spans="2:4" x14ac:dyDescent="0.4">
      <c r="B16" s="118"/>
    </row>
    <row r="17" spans="1:27" ht="12.6" thickBot="1" x14ac:dyDescent="0.45">
      <c r="A17" s="113"/>
      <c r="B17" s="114" t="s">
        <v>40</v>
      </c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</row>
    <row r="18" spans="1:27" ht="12.6" thickTop="1" x14ac:dyDescent="0.4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Cover</vt:lpstr>
      <vt:lpstr>1. Summary</vt:lpstr>
      <vt:lpstr>2. Financial Stmts</vt:lpstr>
      <vt:lpstr>3. Inputs</vt:lpstr>
      <vt:lpstr>4. Calculations</vt:lpstr>
      <vt:lpstr>xx. User Guide</vt:lpstr>
      <vt:lpstr>discount_rate</vt:lpstr>
      <vt:lpstr>model_date</vt:lpstr>
      <vt:lpstr>share_price</vt:lpstr>
      <vt:lpstr>terminal_growth_rate</vt:lpstr>
      <vt:lpstr>timelines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Education@cbvinstitute.com</dc:creator>
  <cp:lastModifiedBy>Kevin Floether</cp:lastModifiedBy>
  <dcterms:created xsi:type="dcterms:W3CDTF">2022-08-04T22:41:47Z</dcterms:created>
  <dcterms:modified xsi:type="dcterms:W3CDTF">2023-09-26T14:47:18Z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Name">
    <vt:lpwstr/>
  </property>
</Properties>
</file>